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5" windowWidth="26865" windowHeight="12705" activeTab="0"/>
  </bookViews>
  <sheets>
    <sheet name="Input-Output" sheetId="1" r:id="rId1"/>
    <sheet name="Economic Analysis" sheetId="2" state="hidden" r:id="rId2"/>
  </sheets>
  <definedNames>
    <definedName name="solver_adj" localSheetId="0" hidden="1">'Input-Output'!$L$17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'Input-Output'!$L$17</definedName>
    <definedName name="solver_lhs2" localSheetId="0" hidden="1">'Input-Output'!$L$45</definedName>
    <definedName name="solver_lhs3" localSheetId="0" hidden="1">'Input-Output'!$L$17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'Input-Output'!$L$25</definedName>
    <definedName name="solver_pre" localSheetId="0" hidden="1">0.001</definedName>
    <definedName name="solver_rel1" localSheetId="0" hidden="1">2</definedName>
    <definedName name="solver_rel2" localSheetId="0" hidden="1">3</definedName>
    <definedName name="solver_rel3" localSheetId="0" hidden="1">2</definedName>
    <definedName name="solver_rhs1" localSheetId="0" hidden="1">'Input-Output'!$L$9*3.906/'Input-Output'!$L$22</definedName>
    <definedName name="solver_rhs2" localSheetId="0" hidden="1">'Input-Output'!$L$43</definedName>
    <definedName name="solver_rhs3" localSheetId="0" hidden="1">'Input-Output'!$L$22*100</definedName>
    <definedName name="solver_scl" localSheetId="0" hidden="1">2</definedName>
    <definedName name="solver_sho" localSheetId="0" hidden="1">2</definedName>
    <definedName name="solver_tim" localSheetId="0" hidden="1">10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<sst xmlns="http://schemas.openxmlformats.org/spreadsheetml/2006/main" count="345" uniqueCount="202">
  <si>
    <t>Power</t>
  </si>
  <si>
    <t>Power Es</t>
  </si>
  <si>
    <t>Labor Es</t>
  </si>
  <si>
    <t>Membrane Es</t>
  </si>
  <si>
    <t>Present Worth</t>
  </si>
  <si>
    <t>Capital</t>
  </si>
  <si>
    <t>NPV</t>
  </si>
  <si>
    <t>Discharge P</t>
  </si>
  <si>
    <t>Inlet Temp</t>
  </si>
  <si>
    <t>HP</t>
  </si>
  <si>
    <t>kW</t>
  </si>
  <si>
    <t>(SCFM)</t>
  </si>
  <si>
    <t>(lb/sec)</t>
  </si>
  <si>
    <t>(psia)</t>
  </si>
  <si>
    <t>(in Hg)</t>
  </si>
  <si>
    <t>(deg F)</t>
  </si>
  <si>
    <t>efficiency</t>
  </si>
  <si>
    <t>Cost</t>
  </si>
  <si>
    <t>aSOTE (%)</t>
  </si>
  <si>
    <t>DO</t>
  </si>
  <si>
    <t>Beta</t>
  </si>
  <si>
    <t>C star</t>
  </si>
  <si>
    <t>OTE (%)</t>
  </si>
  <si>
    <t>Sum of Loss</t>
  </si>
  <si>
    <t>Total P</t>
  </si>
  <si>
    <t>DWP increase</t>
  </si>
  <si>
    <t>Inlet P</t>
  </si>
  <si>
    <t>Air GASFlow</t>
  </si>
  <si>
    <t>Air MASSflow</t>
  </si>
  <si>
    <t>blower+motor</t>
  </si>
  <si>
    <t>INPUT</t>
  </si>
  <si>
    <t>OUTPUT</t>
  </si>
  <si>
    <t>Mean Cell Retention Time</t>
  </si>
  <si>
    <t>days</t>
  </si>
  <si>
    <t>%</t>
  </si>
  <si>
    <t>ft</t>
  </si>
  <si>
    <t>Diffuser</t>
  </si>
  <si>
    <t>Area</t>
  </si>
  <si>
    <t>min AFR</t>
  </si>
  <si>
    <t>max AFR</t>
  </si>
  <si>
    <t>SCFM/diff</t>
  </si>
  <si>
    <t>Diffuser Code</t>
  </si>
  <si>
    <r>
      <t>m</t>
    </r>
    <r>
      <rPr>
        <vertAlign val="superscript"/>
        <sz val="10"/>
        <color indexed="9"/>
        <rFont val="Geneva"/>
        <family val="0"/>
      </rPr>
      <t>2</t>
    </r>
  </si>
  <si>
    <r>
      <t>m</t>
    </r>
    <r>
      <rPr>
        <vertAlign val="superscript"/>
        <sz val="10"/>
        <color indexed="22"/>
        <rFont val="Geneva"/>
        <family val="0"/>
      </rPr>
      <t>2</t>
    </r>
  </si>
  <si>
    <t>diffuser depth</t>
  </si>
  <si>
    <r>
      <t>lbO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/day</t>
    </r>
  </si>
  <si>
    <r>
      <t>kgO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/day</t>
    </r>
  </si>
  <si>
    <r>
      <t>ft</t>
    </r>
    <r>
      <rPr>
        <vertAlign val="superscript"/>
        <sz val="10"/>
        <color indexed="22"/>
        <rFont val="Geneva"/>
        <family val="0"/>
      </rPr>
      <t>2</t>
    </r>
  </si>
  <si>
    <r>
      <t>ft</t>
    </r>
    <r>
      <rPr>
        <vertAlign val="superscript"/>
        <sz val="10"/>
        <color indexed="9"/>
        <rFont val="Geneva"/>
        <family val="0"/>
      </rPr>
      <t>2</t>
    </r>
  </si>
  <si>
    <t>normalized air flux</t>
  </si>
  <si>
    <r>
      <t>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required (OTR</t>
    </r>
    <r>
      <rPr>
        <vertAlign val="subscript"/>
        <sz val="10"/>
        <color indexed="9"/>
        <rFont val="Arial"/>
        <family val="2"/>
      </rPr>
      <t>req</t>
    </r>
    <r>
      <rPr>
        <sz val="10"/>
        <color indexed="9"/>
        <rFont val="Arial"/>
        <family val="2"/>
      </rPr>
      <t>)</t>
    </r>
  </si>
  <si>
    <r>
      <t>Sm</t>
    </r>
    <r>
      <rPr>
        <vertAlign val="superscript"/>
        <sz val="10"/>
        <color indexed="9"/>
        <rFont val="Arial"/>
        <family val="2"/>
      </rPr>
      <t>3</t>
    </r>
    <r>
      <rPr>
        <vertAlign val="subscript"/>
        <sz val="10"/>
        <color indexed="9"/>
        <rFont val="Arial"/>
        <family val="2"/>
      </rPr>
      <t xml:space="preserve">air </t>
    </r>
    <r>
      <rPr>
        <sz val="10"/>
        <color indexed="9"/>
        <rFont val="Arial"/>
        <family val="2"/>
      </rPr>
      <t>/ m</t>
    </r>
    <r>
      <rPr>
        <vertAlign val="subscript"/>
        <sz val="10"/>
        <color indexed="9"/>
        <rFont val="Arial"/>
        <family val="2"/>
      </rPr>
      <t>depth</t>
    </r>
    <r>
      <rPr>
        <sz val="10"/>
        <color indexed="9"/>
        <rFont val="Arial"/>
        <family val="2"/>
      </rPr>
      <t>*m</t>
    </r>
    <r>
      <rPr>
        <vertAlign val="superscript"/>
        <sz val="10"/>
        <color indexed="9"/>
        <rFont val="Arial"/>
        <family val="2"/>
      </rPr>
      <t>2</t>
    </r>
    <r>
      <rPr>
        <vertAlign val="subscript"/>
        <sz val="10"/>
        <color indexed="9"/>
        <rFont val="Arial"/>
        <family val="2"/>
      </rPr>
      <t>tot diff area</t>
    </r>
    <r>
      <rPr>
        <sz val="10"/>
        <color indexed="9"/>
        <rFont val="Arial"/>
        <family val="2"/>
      </rPr>
      <t>*s</t>
    </r>
  </si>
  <si>
    <t>Air Flow Rate</t>
  </si>
  <si>
    <t>SCFM</t>
  </si>
  <si>
    <r>
      <t>Sft</t>
    </r>
    <r>
      <rPr>
        <vertAlign val="superscript"/>
        <sz val="10"/>
        <color indexed="9"/>
        <rFont val="Arial"/>
        <family val="2"/>
      </rPr>
      <t>3</t>
    </r>
    <r>
      <rPr>
        <vertAlign val="subscript"/>
        <sz val="10"/>
        <color indexed="9"/>
        <rFont val="Arial"/>
        <family val="2"/>
      </rPr>
      <t xml:space="preserve">air </t>
    </r>
    <r>
      <rPr>
        <sz val="10"/>
        <color indexed="9"/>
        <rFont val="Arial"/>
        <family val="2"/>
      </rPr>
      <t>/ ft</t>
    </r>
    <r>
      <rPr>
        <vertAlign val="subscript"/>
        <sz val="10"/>
        <color indexed="9"/>
        <rFont val="Arial"/>
        <family val="2"/>
      </rPr>
      <t>depth</t>
    </r>
    <r>
      <rPr>
        <sz val="10"/>
        <color indexed="9"/>
        <rFont val="Arial"/>
        <family val="2"/>
      </rPr>
      <t>*ft</t>
    </r>
    <r>
      <rPr>
        <vertAlign val="superscript"/>
        <sz val="10"/>
        <color indexed="9"/>
        <rFont val="Arial"/>
        <family val="2"/>
      </rPr>
      <t>2</t>
    </r>
    <r>
      <rPr>
        <vertAlign val="subscript"/>
        <sz val="10"/>
        <color indexed="9"/>
        <rFont val="Arial"/>
        <family val="2"/>
      </rPr>
      <t>tot diff area</t>
    </r>
    <r>
      <rPr>
        <sz val="10"/>
        <color indexed="9"/>
        <rFont val="Arial"/>
        <family val="2"/>
      </rPr>
      <t>*min</t>
    </r>
  </si>
  <si>
    <t>MIN normalized air flux</t>
  </si>
  <si>
    <t>MAX normalized air flux</t>
  </si>
  <si>
    <t>MGD</t>
  </si>
  <si>
    <r>
      <t>mg</t>
    </r>
    <r>
      <rPr>
        <vertAlign val="subscript"/>
        <sz val="10"/>
        <color indexed="9"/>
        <rFont val="Arial"/>
        <family val="2"/>
      </rPr>
      <t>COD</t>
    </r>
    <r>
      <rPr>
        <sz val="10"/>
        <color indexed="9"/>
        <rFont val="Arial"/>
        <family val="2"/>
      </rPr>
      <t>/l</t>
    </r>
  </si>
  <si>
    <r>
      <t>lb</t>
    </r>
    <r>
      <rPr>
        <vertAlign val="subscript"/>
        <sz val="10"/>
        <color indexed="9"/>
        <rFont val="Arial"/>
        <family val="2"/>
      </rPr>
      <t>MLSS</t>
    </r>
    <r>
      <rPr>
        <sz val="10"/>
        <color indexed="9"/>
        <rFont val="Arial"/>
        <family val="2"/>
      </rPr>
      <t>/d</t>
    </r>
  </si>
  <si>
    <r>
      <t>kg</t>
    </r>
    <r>
      <rPr>
        <vertAlign val="subscript"/>
        <sz val="10"/>
        <color indexed="9"/>
        <rFont val="Arial"/>
        <family val="2"/>
      </rPr>
      <t>MLSS</t>
    </r>
    <r>
      <rPr>
        <sz val="10"/>
        <color indexed="9"/>
        <rFont val="Arial"/>
        <family val="2"/>
      </rPr>
      <t>/d</t>
    </r>
  </si>
  <si>
    <r>
      <t>D</t>
    </r>
    <r>
      <rPr>
        <sz val="10"/>
        <color indexed="9"/>
        <rFont val="Arial"/>
        <family val="2"/>
      </rPr>
      <t>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(OTRtr - OTRreq)</t>
    </r>
  </si>
  <si>
    <t>diffusers required</t>
  </si>
  <si>
    <t>DESIGN VALUES</t>
  </si>
  <si>
    <r>
      <t>lbO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/day</t>
    </r>
  </si>
  <si>
    <t>1• Insert influent data in the green cells:</t>
  </si>
  <si>
    <t>2• Insert in the yellow cell a code from the table below:</t>
  </si>
  <si>
    <t>MIN diffusers usable</t>
  </si>
  <si>
    <t>MAX diffusers usable</t>
  </si>
  <si>
    <r>
      <t>MIN 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transferable (OTR</t>
    </r>
    <r>
      <rPr>
        <vertAlign val="subscript"/>
        <sz val="10"/>
        <color indexed="9"/>
        <rFont val="Arial"/>
        <family val="2"/>
      </rPr>
      <t>tr</t>
    </r>
    <r>
      <rPr>
        <sz val="10"/>
        <color indexed="9"/>
        <rFont val="Arial"/>
        <family val="2"/>
      </rPr>
      <t>)</t>
    </r>
  </si>
  <si>
    <r>
      <t>MAX O</t>
    </r>
    <r>
      <rPr>
        <vertAlign val="sub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 xml:space="preserve"> transferable (OTR</t>
    </r>
    <r>
      <rPr>
        <vertAlign val="subscript"/>
        <sz val="10"/>
        <color indexed="9"/>
        <rFont val="Arial"/>
        <family val="2"/>
      </rPr>
      <t>tr</t>
    </r>
    <r>
      <rPr>
        <sz val="10"/>
        <color indexed="9"/>
        <rFont val="Arial"/>
        <family val="2"/>
      </rPr>
      <t>)</t>
    </r>
  </si>
  <si>
    <t>(@ max AFR/diff)</t>
  </si>
  <si>
    <t>(@ min AFR/diff)</t>
  </si>
  <si>
    <t>annual interest rate</t>
  </si>
  <si>
    <t>Net Present Value of power cost [$]</t>
  </si>
  <si>
    <t>capital cost</t>
  </si>
  <si>
    <t>power cost</t>
  </si>
  <si>
    <t>maintenance cost</t>
  </si>
  <si>
    <t>CASH FLOWS</t>
  </si>
  <si>
    <t>UNIT COSTS</t>
  </si>
  <si>
    <t>NPV COSTS</t>
  </si>
  <si>
    <r>
      <t>D</t>
    </r>
    <r>
      <rPr>
        <sz val="10"/>
        <rFont val="Arial"/>
        <family val="0"/>
      </rPr>
      <t>Power</t>
    </r>
  </si>
  <si>
    <t>POWER CALCULATIONS</t>
  </si>
  <si>
    <t>AIR FLOW RATE CALCULATIONS</t>
  </si>
  <si>
    <t>Net Present Value of membrane cleaning cost [$]</t>
  </si>
  <si>
    <t>cleaning cost</t>
  </si>
  <si>
    <t>Cleaning</t>
  </si>
  <si>
    <r>
      <t>D</t>
    </r>
    <r>
      <rPr>
        <sz val="10"/>
        <rFont val="Arial"/>
        <family val="0"/>
      </rPr>
      <t>power cost</t>
    </r>
  </si>
  <si>
    <t>Net Present Value of net loss [$]</t>
  </si>
  <si>
    <t>INITIAL PARAMETERS</t>
  </si>
  <si>
    <t>SFCM</t>
  </si>
  <si>
    <t>Discharge P initial</t>
  </si>
  <si>
    <t>time in operation</t>
  </si>
  <si>
    <t>yrs</t>
  </si>
  <si>
    <t>Airflow rate (SCFM)</t>
  </si>
  <si>
    <r>
      <t>a</t>
    </r>
    <r>
      <rPr>
        <b/>
        <sz val="10"/>
        <color indexed="9"/>
        <rFont val="Arial"/>
        <family val="2"/>
      </rPr>
      <t>SOTE initial</t>
    </r>
  </si>
  <si>
    <r>
      <t>a</t>
    </r>
    <r>
      <rPr>
        <b/>
        <sz val="10"/>
        <color indexed="9"/>
        <rFont val="Arial"/>
        <family val="2"/>
      </rPr>
      <t>SOTE final</t>
    </r>
  </si>
  <si>
    <t>Airflow rate initial</t>
  </si>
  <si>
    <t>Power base</t>
  </si>
  <si>
    <t>Cleaning cost</t>
  </si>
  <si>
    <t>Power Loss factor</t>
  </si>
  <si>
    <t>DPower to Cleaning factor</t>
  </si>
  <si>
    <t>Power to Cleaning ratio</t>
  </si>
  <si>
    <t>Mo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</si>
  <si>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</si>
  <si>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</si>
  <si>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</si>
  <si>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</si>
  <si>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</si>
  <si>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</si>
  <si>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</si>
  <si>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</si>
  <si>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</si>
  <si>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</si>
  <si>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</si>
  <si>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</si>
  <si>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Power</t>
  </si>
  <si>
    <t>Kwh Cost</t>
  </si>
  <si>
    <t>(USD)</t>
  </si>
  <si>
    <t>months of op.</t>
  </si>
  <si>
    <t>Cum Power</t>
  </si>
  <si>
    <t>Diffuser name</t>
  </si>
  <si>
    <t>Total present worth [$]</t>
  </si>
  <si>
    <t>Plant flow</t>
  </si>
  <si>
    <t>Wasting rate</t>
  </si>
  <si>
    <t>Enter diffuser code from above list</t>
  </si>
  <si>
    <t>OTR CALCULATIONS</t>
  </si>
  <si>
    <t>Annual interest rate [%]</t>
  </si>
  <si>
    <t>Power cost [$/kWh]</t>
  </si>
  <si>
    <t>Years in service</t>
  </si>
  <si>
    <t>Yearly maintenance cost [$]</t>
  </si>
  <si>
    <t>Cleaning cost [$]</t>
  </si>
  <si>
    <r>
      <t xml:space="preserve">Design </t>
    </r>
    <r>
      <rPr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 [%]</t>
    </r>
  </si>
  <si>
    <t>7” Ceramic Dome</t>
  </si>
  <si>
    <t>7” EPDM Membrane Disc</t>
  </si>
  <si>
    <t>7” Plastic Disc</t>
  </si>
  <si>
    <t>9” Ceramic Disc</t>
  </si>
  <si>
    <t>9” EPDM Membrane Disc</t>
  </si>
  <si>
    <t>12” Square Ceramic Plate</t>
  </si>
  <si>
    <t>14” Ceramic Disc</t>
  </si>
  <si>
    <t>Ceramic Tube</t>
  </si>
  <si>
    <t>Plastic Tube</t>
  </si>
  <si>
    <t>PVC Membrane Tube</t>
  </si>
  <si>
    <t>OPERATING RANGES</t>
  </si>
  <si>
    <r>
      <rPr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 before cleaning [%]</t>
    </r>
  </si>
  <si>
    <r>
      <t xml:space="preserve">Yearly efficiency loss </t>
    </r>
    <r>
      <rPr>
        <sz val="10"/>
        <color indexed="9"/>
        <rFont val="Symbol"/>
        <family val="1"/>
      </rPr>
      <t>D</t>
    </r>
    <r>
      <rPr>
        <i/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SOTE/yr [%/yr]</t>
    </r>
  </si>
  <si>
    <t>User defined - enter name</t>
  </si>
  <si>
    <t>Insert diffuser data in the green cells:</t>
  </si>
  <si>
    <t>ECONOMIC DATA</t>
  </si>
  <si>
    <t>PE bCOD</t>
  </si>
  <si>
    <t>PE NH4-N</t>
  </si>
  <si>
    <t>SE bCOD</t>
  </si>
  <si>
    <t>SE NH4-N</t>
  </si>
  <si>
    <t>Plant Load</t>
  </si>
  <si>
    <t>MIN operating AFR</t>
  </si>
  <si>
    <t>MAX operating AFR</t>
  </si>
  <si>
    <r>
      <t>Sm</t>
    </r>
    <r>
      <rPr>
        <vertAlign val="superscript"/>
        <sz val="10"/>
        <color indexed="9"/>
        <rFont val="Arial"/>
        <family val="2"/>
      </rPr>
      <t>3</t>
    </r>
    <r>
      <rPr>
        <vertAlign val="subscript"/>
        <sz val="10"/>
        <color indexed="9"/>
        <rFont val="Arial"/>
        <family val="2"/>
      </rPr>
      <t xml:space="preserve">air </t>
    </r>
    <r>
      <rPr>
        <sz val="10"/>
        <color indexed="9"/>
        <rFont val="Arial"/>
        <family val="2"/>
      </rPr>
      <t>/ min</t>
    </r>
  </si>
  <si>
    <r>
      <t>m</t>
    </r>
    <r>
      <rPr>
        <vertAlign val="superscript"/>
        <sz val="10"/>
        <color indexed="9"/>
        <rFont val="Arial"/>
        <family val="2"/>
      </rPr>
      <t>3</t>
    </r>
    <r>
      <rPr>
        <sz val="10"/>
        <color indexed="9"/>
        <rFont val="Arial"/>
        <family val="2"/>
      </rPr>
      <t>/d</t>
    </r>
  </si>
  <si>
    <t>operating AFR/diffuser</t>
  </si>
  <si>
    <r>
      <t xml:space="preserve">estimated design </t>
    </r>
    <r>
      <rPr>
        <b/>
        <sz val="10"/>
        <color indexed="9"/>
        <rFont val="Symbol"/>
        <family val="1"/>
      </rPr>
      <t>a</t>
    </r>
    <r>
      <rPr>
        <b/>
        <sz val="10"/>
        <color indexed="9"/>
        <rFont val="Arial"/>
        <family val="2"/>
      </rPr>
      <t>SOTE</t>
    </r>
  </si>
  <si>
    <r>
      <t>estimated 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 xml:space="preserve"> transferred (OTR</t>
    </r>
    <r>
      <rPr>
        <b/>
        <vertAlign val="subscript"/>
        <sz val="10"/>
        <color indexed="9"/>
        <rFont val="Arial"/>
        <family val="2"/>
      </rPr>
      <t>tr</t>
    </r>
    <r>
      <rPr>
        <b/>
        <sz val="10"/>
        <color indexed="9"/>
        <rFont val="Arial"/>
        <family val="2"/>
      </rPr>
      <t>)</t>
    </r>
  </si>
  <si>
    <r>
      <t xml:space="preserve">design </t>
    </r>
    <r>
      <rPr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</t>
    </r>
  </si>
  <si>
    <r>
      <t>Sm</t>
    </r>
    <r>
      <rPr>
        <vertAlign val="superscript"/>
        <sz val="10"/>
        <color indexed="9"/>
        <rFont val="Arial"/>
        <family val="2"/>
      </rPr>
      <t>3</t>
    </r>
    <r>
      <rPr>
        <vertAlign val="subscript"/>
        <sz val="10"/>
        <color indexed="9"/>
        <rFont val="Arial"/>
        <family val="2"/>
      </rPr>
      <t xml:space="preserve">air </t>
    </r>
    <r>
      <rPr>
        <sz val="10"/>
        <color indexed="9"/>
        <rFont val="Arial"/>
        <family val="2"/>
      </rPr>
      <t>/ m</t>
    </r>
    <r>
      <rPr>
        <vertAlign val="subscript"/>
        <sz val="10"/>
        <color indexed="9"/>
        <rFont val="Arial"/>
        <family val="2"/>
      </rPr>
      <t>depth</t>
    </r>
    <r>
      <rPr>
        <sz val="10"/>
        <color indexed="9"/>
        <rFont val="Arial"/>
        <family val="2"/>
      </rPr>
      <t>*m</t>
    </r>
    <r>
      <rPr>
        <vertAlign val="superscript"/>
        <sz val="10"/>
        <color indexed="9"/>
        <rFont val="Arial"/>
        <family val="2"/>
      </rPr>
      <t>2</t>
    </r>
    <r>
      <rPr>
        <vertAlign val="subscript"/>
        <sz val="10"/>
        <color indexed="9"/>
        <rFont val="Arial"/>
        <family val="2"/>
      </rPr>
      <t>tot diff area</t>
    </r>
    <r>
      <rPr>
        <sz val="10"/>
        <color indexed="9"/>
        <rFont val="Arial"/>
        <family val="2"/>
      </rPr>
      <t>*min</t>
    </r>
  </si>
  <si>
    <r>
      <t xml:space="preserve">MIN estimated </t>
    </r>
    <r>
      <rPr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 (@max AFR/diff)</t>
    </r>
  </si>
  <si>
    <r>
      <t xml:space="preserve">MAX estimated </t>
    </r>
    <r>
      <rPr>
        <sz val="10"/>
        <color indexed="9"/>
        <rFont val="Symbol"/>
        <family val="1"/>
      </rPr>
      <t>a</t>
    </r>
    <r>
      <rPr>
        <sz val="10"/>
        <color indexed="9"/>
        <rFont val="Arial"/>
        <family val="2"/>
      </rPr>
      <t>SOTE (@min AFR/diff)</t>
    </r>
  </si>
  <si>
    <t>Service period [yrs]</t>
  </si>
  <si>
    <t>Time between cleaning events [mo]</t>
  </si>
  <si>
    <t>design DWP</t>
  </si>
  <si>
    <t>inH2O</t>
  </si>
  <si>
    <r>
      <t>D</t>
    </r>
    <r>
      <rPr>
        <b/>
        <sz val="10"/>
        <color indexed="9"/>
        <rFont val="Arial"/>
        <family val="2"/>
      </rPr>
      <t>efficiency / yr</t>
    </r>
  </si>
  <si>
    <r>
      <t>D</t>
    </r>
    <r>
      <rPr>
        <b/>
        <sz val="10"/>
        <color indexed="9"/>
        <rFont val="Arial"/>
        <family val="2"/>
      </rPr>
      <t>efficiency / mo</t>
    </r>
  </si>
  <si>
    <t>AIR FLOW BEFORE CLEANING</t>
  </si>
  <si>
    <t>Yearly increase in DWP [inH2O/yr]</t>
  </si>
  <si>
    <r>
      <t>D</t>
    </r>
    <r>
      <rPr>
        <sz val="10"/>
        <color indexed="9"/>
        <rFont val="Arial"/>
        <family val="2"/>
      </rPr>
      <t>AFR</t>
    </r>
  </si>
  <si>
    <r>
      <t xml:space="preserve">Net Present Value of </t>
    </r>
    <r>
      <rPr>
        <sz val="10"/>
        <color indexed="8"/>
        <rFont val="Symbol"/>
        <family val="1"/>
      </rPr>
      <t>D</t>
    </r>
    <r>
      <rPr>
        <sz val="10"/>
        <color indexed="8"/>
        <rFont val="Arial"/>
        <family val="2"/>
      </rPr>
      <t>power [$]</t>
    </r>
  </si>
  <si>
    <t>Large EPDM Tube 3" x 5'</t>
  </si>
  <si>
    <t>Polyurethane Panel 4' x 11'</t>
  </si>
  <si>
    <t>Polyurethane Strip Panels 6" x 8'</t>
  </si>
  <si>
    <t>Polyurethane Tube 2" X 4'</t>
  </si>
  <si>
    <t>Silicone Membrane Tube 2" X 4'</t>
  </si>
  <si>
    <t>14” EPDM Membrane Disc</t>
  </si>
  <si>
    <t>EPDM Membrane Tube 2" X 3'</t>
  </si>
  <si>
    <t>m</t>
  </si>
  <si>
    <t>Cumulative energy wasted</t>
  </si>
  <si>
    <t>PROCESS DATA</t>
  </si>
  <si>
    <t>AFR increase during operating period</t>
  </si>
  <si>
    <t>min</t>
  </si>
  <si>
    <t>max</t>
  </si>
  <si>
    <t>HRT</t>
  </si>
  <si>
    <t>h</t>
  </si>
  <si>
    <t>Tank volume</t>
  </si>
  <si>
    <r>
      <t>m</t>
    </r>
    <r>
      <rPr>
        <vertAlign val="superscript"/>
        <sz val="10"/>
        <color indexed="9"/>
        <rFont val="Arial"/>
        <family val="2"/>
      </rPr>
      <t>3</t>
    </r>
  </si>
  <si>
    <t>MLSS</t>
  </si>
  <si>
    <r>
      <t>mg</t>
    </r>
    <r>
      <rPr>
        <sz val="10"/>
        <color indexed="9"/>
        <rFont val="Arial"/>
        <family val="2"/>
      </rPr>
      <t>/l</t>
    </r>
  </si>
  <si>
    <t>biomass</t>
  </si>
  <si>
    <t>kg</t>
  </si>
  <si>
    <t>lb</t>
  </si>
  <si>
    <t>MG</t>
  </si>
  <si>
    <t>Fouling factor F</t>
  </si>
  <si>
    <t>DWP before cleaning [inH2O]</t>
  </si>
  <si>
    <r>
      <t xml:space="preserve">Pressure factor </t>
    </r>
    <r>
      <rPr>
        <sz val="10"/>
        <color indexed="9"/>
        <rFont val="Symbol"/>
        <family val="1"/>
      </rPr>
      <t>Y</t>
    </r>
  </si>
  <si>
    <t>CLEANING FREQUENCY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</si>
</sst>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#,##0.000"/>
    <numFmt numFmtId="168" formatCode="00000"/>
    <numFmt numFmtId="169" formatCode="0.0%"/>
    <numFmt numFmtId="170" formatCode="0.000"/>
    <numFmt numFmtId="171" formatCode="0.000E+00"/>
    <numFmt numFmtId="172" formatCode="&quot;$&quot;#,##0.000_);\(&quot;$&quot;#,##0.000\)"/>
    <numFmt numFmtId="173" formatCode="0.000%"/>
    <numFmt numFmtId="174" formatCode="#,##0.0_);\(#,##0.0\)"/>
    <numFmt numFmtId="175" formatCode="0.0000"/>
    <numFmt numFmtId="176" formatCode="0.00000"/>
    <numFmt numFmtId="177" formatCode="0.000000"/>
  </numFmts>
  <fonts count="10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 New"/>
      <family val="3"/>
    </font>
    <font>
      <sz val="10"/>
      <name val="Symbol"/>
      <family val="1"/>
    </font>
    <font>
      <b/>
      <i/>
      <sz val="10"/>
      <name val="Arial"/>
      <family val="2"/>
    </font>
    <font>
      <sz val="10"/>
      <color indexed="8"/>
      <name val="Geneva"/>
      <family val="0"/>
    </font>
    <font>
      <sz val="10"/>
      <color indexed="9"/>
      <name val="Courier New"/>
      <family val="3"/>
    </font>
    <font>
      <sz val="10"/>
      <color indexed="9"/>
      <name val="Symbol"/>
      <family val="1"/>
    </font>
    <font>
      <b/>
      <sz val="10"/>
      <color indexed="9"/>
      <name val="Arial"/>
      <family val="2"/>
    </font>
    <font>
      <sz val="10"/>
      <color indexed="9"/>
      <name val="Geneva"/>
      <family val="0"/>
    </font>
    <font>
      <b/>
      <sz val="20"/>
      <color indexed="9"/>
      <name val="Arial"/>
      <family val="2"/>
    </font>
    <font>
      <sz val="20"/>
      <name val="Arial"/>
      <family val="2"/>
    </font>
    <font>
      <vertAlign val="superscript"/>
      <sz val="10"/>
      <color indexed="9"/>
      <name val="Geneva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10"/>
      <color indexed="22"/>
      <name val="Courier New"/>
      <family val="3"/>
    </font>
    <font>
      <sz val="10"/>
      <color indexed="22"/>
      <name val="Geneva"/>
      <family val="0"/>
    </font>
    <font>
      <vertAlign val="superscript"/>
      <sz val="10"/>
      <color indexed="22"/>
      <name val="Geneva"/>
      <family val="0"/>
    </font>
    <font>
      <vertAlign val="subscript"/>
      <sz val="10"/>
      <color indexed="9"/>
      <name val="Arial"/>
      <family val="2"/>
    </font>
    <font>
      <sz val="10"/>
      <color indexed="42"/>
      <name val="Geneva"/>
      <family val="0"/>
    </font>
    <font>
      <sz val="10"/>
      <color indexed="22"/>
      <name val="Arial"/>
      <family val="2"/>
    </font>
    <font>
      <vertAlign val="superscript"/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name val="Arial"/>
      <family val="2"/>
    </font>
    <font>
      <b/>
      <vertAlign val="subscript"/>
      <sz val="10"/>
      <color indexed="9"/>
      <name val="Arial"/>
      <family val="2"/>
    </font>
    <font>
      <sz val="10"/>
      <name val="Arial"/>
      <family val="0"/>
    </font>
    <font>
      <b/>
      <sz val="18"/>
      <color indexed="10"/>
      <name val="Agency FB"/>
      <family val="2"/>
    </font>
    <font>
      <sz val="11"/>
      <color indexed="43"/>
      <name val="Courier New"/>
      <family val="3"/>
    </font>
    <font>
      <b/>
      <sz val="24"/>
      <name val="Agency FB"/>
      <family val="2"/>
    </font>
    <font>
      <b/>
      <sz val="20"/>
      <name val="Agency FB"/>
      <family val="2"/>
    </font>
    <font>
      <i/>
      <sz val="10"/>
      <color indexed="9"/>
      <name val="Symbol"/>
      <family val="1"/>
    </font>
    <font>
      <sz val="10"/>
      <color indexed="8"/>
      <name val="Symbol"/>
      <family val="1"/>
    </font>
    <font>
      <b/>
      <sz val="12"/>
      <color indexed="9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8.45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5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34"/>
      <name val="Courier New"/>
      <family val="3"/>
    </font>
    <font>
      <b/>
      <sz val="10.5"/>
      <color indexed="8"/>
      <name val="Arial"/>
      <family val="2"/>
    </font>
    <font>
      <b/>
      <sz val="10"/>
      <color indexed="10"/>
      <name val="Arial"/>
      <family val="0"/>
    </font>
    <font>
      <sz val="10"/>
      <color indexed="8"/>
      <name val="Courier New"/>
      <family val="3"/>
    </font>
    <font>
      <sz val="16"/>
      <color indexed="15"/>
      <name val="Agency FB"/>
      <family val="0"/>
    </font>
    <font>
      <sz val="20"/>
      <color indexed="15"/>
      <name val="Agency FB"/>
      <family val="2"/>
    </font>
    <font>
      <b/>
      <sz val="20"/>
      <color indexed="8"/>
      <name val="Agency FB"/>
      <family val="2"/>
    </font>
    <font>
      <sz val="20"/>
      <color indexed="8"/>
      <name val="Agency FB"/>
      <family val="2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Geneva"/>
      <family val="0"/>
    </font>
    <font>
      <sz val="10"/>
      <color rgb="FFFFFF00"/>
      <name val="Courier New"/>
      <family val="3"/>
    </font>
    <font>
      <b/>
      <sz val="10"/>
      <color theme="1" tint="0.04998999834060669"/>
      <name val="Arial"/>
      <family val="0"/>
    </font>
    <font>
      <b/>
      <sz val="10.5"/>
      <color theme="1" tint="0.04998999834060669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0"/>
    </font>
    <font>
      <b/>
      <sz val="10"/>
      <color theme="0"/>
      <name val="Symbol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0"/>
    </font>
    <font>
      <sz val="10"/>
      <color rgb="FF000000"/>
      <name val="Courier New"/>
      <family val="3"/>
    </font>
    <font>
      <sz val="10"/>
      <color theme="0" tint="-0.04997999966144562"/>
      <name val="Arial"/>
      <family val="0"/>
    </font>
    <font>
      <b/>
      <sz val="20"/>
      <color theme="1"/>
      <name val="Agency FB"/>
      <family val="2"/>
    </font>
    <font>
      <sz val="20"/>
      <color theme="1"/>
      <name val="Agency FB"/>
      <family val="2"/>
    </font>
    <font>
      <sz val="20"/>
      <color rgb="FF00B0F0"/>
      <name val="Agency FB"/>
      <family val="2"/>
    </font>
    <font>
      <sz val="16"/>
      <color rgb="FF00B0F0"/>
      <name val="Agency FB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7E00"/>
        <bgColor indexed="64"/>
      </patternFill>
    </fill>
    <fill>
      <patternFill patternType="solid">
        <fgColor rgb="FF2E10B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left" vertical="center"/>
    </xf>
    <xf numFmtId="1" fontId="15" fillId="34" borderId="11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 horizontal="left" vertical="center"/>
    </xf>
    <xf numFmtId="0" fontId="29" fillId="0" borderId="13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5" fontId="29" fillId="0" borderId="0" xfId="0" applyNumberFormat="1" applyFont="1" applyAlignment="1">
      <alignment vertical="center" wrapText="1"/>
    </xf>
    <xf numFmtId="0" fontId="29" fillId="0" borderId="0" xfId="0" applyFont="1" applyBorder="1" applyAlignment="1">
      <alignment vertical="center" wrapText="1"/>
    </xf>
    <xf numFmtId="5" fontId="29" fillId="0" borderId="13" xfId="0" applyNumberFormat="1" applyFont="1" applyBorder="1" applyAlignment="1">
      <alignment vertical="center" wrapText="1"/>
    </xf>
    <xf numFmtId="5" fontId="29" fillId="0" borderId="14" xfId="0" applyNumberFormat="1" applyFont="1" applyBorder="1" applyAlignment="1">
      <alignment vertical="center" wrapText="1"/>
    </xf>
    <xf numFmtId="1" fontId="29" fillId="0" borderId="0" xfId="0" applyNumberFormat="1" applyFont="1" applyAlignment="1">
      <alignment vertical="center" wrapText="1"/>
    </xf>
    <xf numFmtId="164" fontId="29" fillId="0" borderId="0" xfId="0" applyNumberFormat="1" applyFont="1" applyAlignment="1">
      <alignment vertical="center" wrapText="1"/>
    </xf>
    <xf numFmtId="2" fontId="29" fillId="0" borderId="0" xfId="0" applyNumberFormat="1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5" fontId="29" fillId="0" borderId="0" xfId="0" applyNumberFormat="1" applyFont="1" applyFill="1" applyAlignment="1">
      <alignment vertical="center" wrapText="1"/>
    </xf>
    <xf numFmtId="5" fontId="2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5" fillId="34" borderId="11" xfId="0" applyFont="1" applyFill="1" applyBorder="1" applyAlignment="1">
      <alignment vertical="center"/>
    </xf>
    <xf numFmtId="0" fontId="29" fillId="0" borderId="14" xfId="0" applyFont="1" applyBorder="1" applyAlignment="1">
      <alignment vertical="center" wrapText="1"/>
    </xf>
    <xf numFmtId="37" fontId="29" fillId="0" borderId="14" xfId="0" applyNumberFormat="1" applyFont="1" applyBorder="1" applyAlignment="1">
      <alignment vertical="center" wrapText="1"/>
    </xf>
    <xf numFmtId="5" fontId="29" fillId="35" borderId="0" xfId="0" applyNumberFormat="1" applyFont="1" applyFill="1" applyBorder="1" applyAlignment="1">
      <alignment vertical="center" wrapText="1"/>
    </xf>
    <xf numFmtId="0" fontId="29" fillId="36" borderId="13" xfId="0" applyFont="1" applyFill="1" applyBorder="1" applyAlignment="1">
      <alignment vertical="center" wrapText="1"/>
    </xf>
    <xf numFmtId="10" fontId="29" fillId="36" borderId="13" xfId="0" applyNumberFormat="1" applyFont="1" applyFill="1" applyBorder="1" applyAlignment="1">
      <alignment vertical="center" wrapText="1"/>
    </xf>
    <xf numFmtId="5" fontId="29" fillId="36" borderId="15" xfId="0" applyNumberFormat="1" applyFont="1" applyFill="1" applyBorder="1" applyAlignment="1">
      <alignment vertical="center" wrapText="1"/>
    </xf>
    <xf numFmtId="5" fontId="29" fillId="36" borderId="13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39" fontId="29" fillId="0" borderId="14" xfId="0" applyNumberFormat="1" applyFont="1" applyBorder="1" applyAlignment="1">
      <alignment vertical="center" wrapText="1"/>
    </xf>
    <xf numFmtId="2" fontId="29" fillId="0" borderId="0" xfId="0" applyNumberFormat="1" applyFont="1" applyFill="1" applyAlignment="1">
      <alignment vertical="center" wrapText="1"/>
    </xf>
    <xf numFmtId="1" fontId="29" fillId="0" borderId="0" xfId="0" applyNumberFormat="1" applyFont="1" applyFill="1" applyAlignment="1">
      <alignment vertical="center" wrapText="1"/>
    </xf>
    <xf numFmtId="164" fontId="29" fillId="0" borderId="0" xfId="0" applyNumberFormat="1" applyFont="1" applyFill="1" applyAlignment="1">
      <alignment vertical="center" wrapText="1"/>
    </xf>
    <xf numFmtId="0" fontId="16" fillId="37" borderId="11" xfId="0" applyFont="1" applyFill="1" applyBorder="1" applyAlignment="1" applyProtection="1">
      <alignment vertical="center"/>
      <protection locked="0"/>
    </xf>
    <xf numFmtId="0" fontId="16" fillId="37" borderId="0" xfId="0" applyFont="1" applyFill="1" applyBorder="1" applyAlignment="1" applyProtection="1">
      <alignment vertical="center"/>
      <protection locked="0"/>
    </xf>
    <xf numFmtId="0" fontId="29" fillId="0" borderId="17" xfId="0" applyFont="1" applyBorder="1" applyAlignment="1">
      <alignment vertical="center" wrapText="1"/>
    </xf>
    <xf numFmtId="0" fontId="29" fillId="0" borderId="18" xfId="0" applyFont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5" fontId="29" fillId="0" borderId="0" xfId="0" applyNumberFormat="1" applyFont="1" applyBorder="1" applyAlignment="1">
      <alignment vertical="center" wrapText="1"/>
    </xf>
    <xf numFmtId="5" fontId="29" fillId="0" borderId="18" xfId="0" applyNumberFormat="1" applyFont="1" applyBorder="1" applyAlignment="1">
      <alignment vertical="center" wrapText="1"/>
    </xf>
    <xf numFmtId="37" fontId="29" fillId="0" borderId="0" xfId="0" applyNumberFormat="1" applyFont="1" applyFill="1" applyBorder="1" applyAlignment="1">
      <alignment vertical="center" wrapText="1"/>
    </xf>
    <xf numFmtId="39" fontId="29" fillId="38" borderId="0" xfId="0" applyNumberFormat="1" applyFont="1" applyFill="1" applyBorder="1" applyAlignment="1">
      <alignment vertical="center" wrapText="1"/>
    </xf>
    <xf numFmtId="37" fontId="29" fillId="38" borderId="0" xfId="0" applyNumberFormat="1" applyFont="1" applyFill="1" applyBorder="1" applyAlignment="1">
      <alignment vertical="center" wrapText="1"/>
    </xf>
    <xf numFmtId="37" fontId="29" fillId="0" borderId="0" xfId="0" applyNumberFormat="1" applyFont="1" applyBorder="1" applyAlignment="1">
      <alignment vertical="center" wrapText="1"/>
    </xf>
    <xf numFmtId="39" fontId="29" fillId="0" borderId="0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5" fontId="29" fillId="0" borderId="20" xfId="0" applyNumberFormat="1" applyFont="1" applyBorder="1" applyAlignment="1">
      <alignment vertical="center" wrapText="1"/>
    </xf>
    <xf numFmtId="0" fontId="27" fillId="35" borderId="17" xfId="0" applyFont="1" applyFill="1" applyBorder="1" applyAlignment="1">
      <alignment vertical="center" wrapText="1"/>
    </xf>
    <xf numFmtId="0" fontId="27" fillId="35" borderId="0" xfId="0" applyFont="1" applyFill="1" applyBorder="1" applyAlignment="1">
      <alignment vertical="center" wrapText="1"/>
    </xf>
    <xf numFmtId="5" fontId="27" fillId="35" borderId="0" xfId="0" applyNumberFormat="1" applyFont="1" applyFill="1" applyBorder="1" applyAlignment="1">
      <alignment vertical="center" wrapText="1"/>
    </xf>
    <xf numFmtId="5" fontId="29" fillId="35" borderId="18" xfId="0" applyNumberFormat="1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22" xfId="0" applyFont="1" applyBorder="1" applyAlignment="1">
      <alignment vertical="center" wrapText="1"/>
    </xf>
    <xf numFmtId="5" fontId="29" fillId="0" borderId="22" xfId="0" applyNumberFormat="1" applyFont="1" applyBorder="1" applyAlignment="1">
      <alignment vertical="center" wrapText="1"/>
    </xf>
    <xf numFmtId="8" fontId="29" fillId="0" borderId="23" xfId="0" applyNumberFormat="1" applyFont="1" applyBorder="1" applyAlignment="1">
      <alignment vertical="center" wrapText="1"/>
    </xf>
    <xf numFmtId="3" fontId="30" fillId="33" borderId="11" xfId="0" applyNumberFormat="1" applyFont="1" applyFill="1" applyBorder="1" applyAlignment="1">
      <alignment horizontal="center" wrapText="1"/>
    </xf>
    <xf numFmtId="0" fontId="86" fillId="39" borderId="24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 applyProtection="1">
      <alignment vertical="center"/>
      <protection locked="0"/>
    </xf>
    <xf numFmtId="0" fontId="29" fillId="40" borderId="0" xfId="0" applyFont="1" applyFill="1" applyAlignment="1">
      <alignment vertical="center" wrapText="1"/>
    </xf>
    <xf numFmtId="0" fontId="6" fillId="40" borderId="0" xfId="0" applyFont="1" applyFill="1" applyBorder="1" applyAlignment="1">
      <alignment vertical="center" wrapText="1"/>
    </xf>
    <xf numFmtId="0" fontId="29" fillId="40" borderId="0" xfId="0" applyFont="1" applyFill="1" applyBorder="1" applyAlignment="1">
      <alignment vertical="center" wrapText="1"/>
    </xf>
    <xf numFmtId="0" fontId="29" fillId="40" borderId="0" xfId="0" applyFont="1" applyFill="1" applyAlignment="1">
      <alignment horizontal="center" vertical="center" wrapText="1"/>
    </xf>
    <xf numFmtId="5" fontId="29" fillId="4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41" borderId="0" xfId="0" applyFont="1" applyFill="1" applyBorder="1" applyAlignment="1" applyProtection="1">
      <alignment vertical="center"/>
      <protection locked="0"/>
    </xf>
    <xf numFmtId="0" fontId="10" fillId="41" borderId="0" xfId="0" applyFont="1" applyFill="1" applyBorder="1" applyAlignment="1">
      <alignment vertical="center" wrapText="1"/>
    </xf>
    <xf numFmtId="0" fontId="29" fillId="41" borderId="0" xfId="0" applyFont="1" applyFill="1" applyAlignment="1">
      <alignment vertical="center" wrapText="1"/>
    </xf>
    <xf numFmtId="49" fontId="10" fillId="41" borderId="0" xfId="0" applyNumberFormat="1" applyFont="1" applyFill="1" applyBorder="1" applyAlignment="1">
      <alignment vertical="center" wrapText="1"/>
    </xf>
    <xf numFmtId="7" fontId="29" fillId="41" borderId="0" xfId="0" applyNumberFormat="1" applyFont="1" applyFill="1" applyAlignment="1">
      <alignment vertical="center" wrapText="1"/>
    </xf>
    <xf numFmtId="166" fontId="29" fillId="41" borderId="0" xfId="0" applyNumberFormat="1" applyFont="1" applyFill="1" applyAlignment="1">
      <alignment vertical="center" wrapText="1"/>
    </xf>
    <xf numFmtId="164" fontId="29" fillId="41" borderId="0" xfId="0" applyNumberFormat="1" applyFont="1" applyFill="1" applyAlignment="1">
      <alignment vertical="center" wrapText="1"/>
    </xf>
    <xf numFmtId="5" fontId="29" fillId="41" borderId="0" xfId="0" applyNumberFormat="1" applyFont="1" applyFill="1" applyAlignment="1">
      <alignment vertical="center" wrapText="1"/>
    </xf>
    <xf numFmtId="0" fontId="27" fillId="41" borderId="0" xfId="0" applyNumberFormat="1" applyFont="1" applyFill="1" applyBorder="1" applyAlignment="1">
      <alignment vertical="center" wrapText="1"/>
    </xf>
    <xf numFmtId="49" fontId="27" fillId="41" borderId="0" xfId="0" applyNumberFormat="1" applyFont="1" applyFill="1" applyBorder="1" applyAlignment="1">
      <alignment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vertical="center" wrapText="1"/>
    </xf>
    <xf numFmtId="2" fontId="29" fillId="41" borderId="0" xfId="0" applyNumberFormat="1" applyFont="1" applyFill="1" applyAlignment="1">
      <alignment vertical="center" wrapText="1"/>
    </xf>
    <xf numFmtId="0" fontId="10" fillId="42" borderId="25" xfId="0" applyFont="1" applyFill="1" applyBorder="1" applyAlignment="1">
      <alignment horizontal="left" vertical="center" wrapText="1"/>
    </xf>
    <xf numFmtId="2" fontId="10" fillId="42" borderId="26" xfId="0" applyNumberFormat="1" applyFont="1" applyFill="1" applyBorder="1" applyAlignment="1">
      <alignment horizontal="center" vertical="center" wrapText="1"/>
    </xf>
    <xf numFmtId="0" fontId="10" fillId="43" borderId="25" xfId="0" applyFont="1" applyFill="1" applyBorder="1" applyAlignment="1">
      <alignment horizontal="left" vertical="center" wrapText="1"/>
    </xf>
    <xf numFmtId="2" fontId="10" fillId="43" borderId="26" xfId="0" applyNumberFormat="1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0" fontId="26" fillId="43" borderId="25" xfId="0" applyFont="1" applyFill="1" applyBorder="1" applyAlignment="1">
      <alignment horizontal="left" vertical="center" wrapText="1"/>
    </xf>
    <xf numFmtId="10" fontId="10" fillId="43" borderId="26" xfId="0" applyNumberFormat="1" applyFont="1" applyFill="1" applyBorder="1" applyAlignment="1">
      <alignment horizontal="center" vertical="center" wrapText="1"/>
    </xf>
    <xf numFmtId="166" fontId="10" fillId="43" borderId="13" xfId="0" applyNumberFormat="1" applyFont="1" applyFill="1" applyBorder="1" applyAlignment="1">
      <alignment horizontal="center" vertical="center" wrapText="1"/>
    </xf>
    <xf numFmtId="0" fontId="26" fillId="42" borderId="25" xfId="0" applyFont="1" applyFill="1" applyBorder="1" applyAlignment="1">
      <alignment horizontal="left" vertical="center" wrapText="1"/>
    </xf>
    <xf numFmtId="10" fontId="10" fillId="42" borderId="26" xfId="0" applyNumberFormat="1" applyFont="1" applyFill="1" applyBorder="1" applyAlignment="1">
      <alignment horizontal="center" vertical="center" wrapText="1"/>
    </xf>
    <xf numFmtId="166" fontId="10" fillId="42" borderId="13" xfId="0" applyNumberFormat="1" applyFont="1" applyFill="1" applyBorder="1" applyAlignment="1">
      <alignment horizontal="center" vertical="center" wrapText="1"/>
    </xf>
    <xf numFmtId="0" fontId="16" fillId="40" borderId="13" xfId="0" applyFont="1" applyFill="1" applyBorder="1" applyAlignment="1" applyProtection="1">
      <alignment vertical="center"/>
      <protection locked="0"/>
    </xf>
    <xf numFmtId="0" fontId="16" fillId="40" borderId="22" xfId="0" applyFont="1" applyFill="1" applyBorder="1" applyAlignment="1" applyProtection="1">
      <alignment vertical="center"/>
      <protection locked="0"/>
    </xf>
    <xf numFmtId="0" fontId="16" fillId="40" borderId="27" xfId="0" applyFont="1" applyFill="1" applyBorder="1" applyAlignment="1" applyProtection="1">
      <alignment vertical="center"/>
      <protection locked="0"/>
    </xf>
    <xf numFmtId="37" fontId="15" fillId="34" borderId="11" xfId="0" applyNumberFormat="1" applyFont="1" applyFill="1" applyBorder="1" applyAlignment="1">
      <alignment horizontal="right" vertical="center"/>
    </xf>
    <xf numFmtId="0" fontId="87" fillId="40" borderId="11" xfId="0" applyFont="1" applyFill="1" applyBorder="1" applyAlignment="1">
      <alignment/>
    </xf>
    <xf numFmtId="1" fontId="4" fillId="40" borderId="11" xfId="0" applyNumberFormat="1" applyFont="1" applyFill="1" applyBorder="1" applyAlignment="1" applyProtection="1">
      <alignment vertical="center"/>
      <protection locked="0"/>
    </xf>
    <xf numFmtId="37" fontId="16" fillId="40" borderId="11" xfId="0" applyNumberFormat="1" applyFont="1" applyFill="1" applyBorder="1" applyAlignment="1" applyProtection="1">
      <alignment vertical="center"/>
      <protection locked="0"/>
    </xf>
    <xf numFmtId="37" fontId="16" fillId="40" borderId="11" xfId="0" applyNumberFormat="1" applyFont="1" applyFill="1" applyBorder="1" applyAlignment="1" applyProtection="1">
      <alignment horizontal="right" vertical="center"/>
      <protection locked="0"/>
    </xf>
    <xf numFmtId="2" fontId="16" fillId="40" borderId="11" xfId="0" applyNumberFormat="1" applyFont="1" applyFill="1" applyBorder="1" applyAlignment="1" applyProtection="1">
      <alignment horizontal="center" vertical="center"/>
      <protection locked="0"/>
    </xf>
    <xf numFmtId="169" fontId="16" fillId="40" borderId="11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11" fontId="15" fillId="34" borderId="11" xfId="0" applyNumberFormat="1" applyFont="1" applyFill="1" applyBorder="1" applyAlignment="1">
      <alignment vertical="center"/>
    </xf>
    <xf numFmtId="164" fontId="15" fillId="34" borderId="11" xfId="0" applyNumberFormat="1" applyFont="1" applyFill="1" applyBorder="1" applyAlignment="1">
      <alignment vertical="center"/>
    </xf>
    <xf numFmtId="164" fontId="10" fillId="33" borderId="11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5" fillId="34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1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 vertical="center"/>
    </xf>
    <xf numFmtId="0" fontId="8" fillId="43" borderId="11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1" fontId="15" fillId="43" borderId="11" xfId="0" applyNumberFormat="1" applyFont="1" applyFill="1" applyBorder="1" applyAlignment="1">
      <alignment vertical="center"/>
    </xf>
    <xf numFmtId="0" fontId="15" fillId="4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/>
    </xf>
    <xf numFmtId="164" fontId="15" fillId="33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top"/>
    </xf>
    <xf numFmtId="1" fontId="15" fillId="33" borderId="11" xfId="0" applyNumberFormat="1" applyFont="1" applyFill="1" applyBorder="1" applyAlignment="1">
      <alignment vertical="center"/>
    </xf>
    <xf numFmtId="0" fontId="10" fillId="44" borderId="11" xfId="0" applyFont="1" applyFill="1" applyBorder="1" applyAlignment="1">
      <alignment vertical="center"/>
    </xf>
    <xf numFmtId="1" fontId="10" fillId="44" borderId="11" xfId="0" applyNumberFormat="1" applyFont="1" applyFill="1" applyBorder="1" applyAlignment="1">
      <alignment vertical="center"/>
    </xf>
    <xf numFmtId="2" fontId="15" fillId="34" borderId="11" xfId="0" applyNumberFormat="1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/>
    </xf>
    <xf numFmtId="2" fontId="20" fillId="34" borderId="11" xfId="0" applyNumberFormat="1" applyFont="1" applyFill="1" applyBorder="1" applyAlignment="1">
      <alignment horizontal="center" vertical="top"/>
    </xf>
    <xf numFmtId="0" fontId="20" fillId="34" borderId="11" xfId="0" applyFont="1" applyFill="1" applyBorder="1" applyAlignment="1">
      <alignment horizontal="center" vertical="top"/>
    </xf>
    <xf numFmtId="2" fontId="20" fillId="33" borderId="11" xfId="0" applyNumberFormat="1" applyFont="1" applyFill="1" applyBorder="1" applyAlignment="1">
      <alignment horizontal="center" vertical="top"/>
    </xf>
    <xf numFmtId="164" fontId="10" fillId="44" borderId="11" xfId="0" applyNumberFormat="1" applyFont="1" applyFill="1" applyBorder="1" applyAlignment="1">
      <alignment vertical="center"/>
    </xf>
    <xf numFmtId="0" fontId="10" fillId="4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vertical="center"/>
    </xf>
    <xf numFmtId="0" fontId="10" fillId="39" borderId="1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/>
    </xf>
    <xf numFmtId="0" fontId="7" fillId="41" borderId="11" xfId="0" applyFont="1" applyFill="1" applyBorder="1" applyAlignment="1" applyProtection="1">
      <alignment horizontal="center"/>
      <protection locked="0"/>
    </xf>
    <xf numFmtId="0" fontId="11" fillId="34" borderId="11" xfId="0" applyFont="1" applyFill="1" applyBorder="1" applyAlignment="1">
      <alignment horizontal="left"/>
    </xf>
    <xf numFmtId="2" fontId="11" fillId="34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/>
    </xf>
    <xf numFmtId="170" fontId="11" fillId="33" borderId="11" xfId="0" applyNumberFormat="1" applyFont="1" applyFill="1" applyBorder="1" applyAlignment="1">
      <alignment horizontal="center"/>
    </xf>
    <xf numFmtId="0" fontId="86" fillId="33" borderId="11" xfId="0" applyFont="1" applyFill="1" applyBorder="1" applyAlignment="1">
      <alignment horizontal="center" vertical="center"/>
    </xf>
    <xf numFmtId="0" fontId="86" fillId="40" borderId="11" xfId="0" applyFont="1" applyFill="1" applyBorder="1" applyAlignment="1">
      <alignment horizontal="center" vertical="center" wrapText="1"/>
    </xf>
    <xf numFmtId="1" fontId="0" fillId="40" borderId="11" xfId="0" applyNumberFormat="1" applyFont="1" applyFill="1" applyBorder="1" applyAlignment="1">
      <alignment/>
    </xf>
    <xf numFmtId="37" fontId="29" fillId="33" borderId="11" xfId="0" applyNumberFormat="1" applyFont="1" applyFill="1" applyBorder="1" applyAlignment="1">
      <alignment vertical="center"/>
    </xf>
    <xf numFmtId="5" fontId="29" fillId="33" borderId="1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31" fillId="33" borderId="24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9" fillId="33" borderId="15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/>
    </xf>
    <xf numFmtId="0" fontId="18" fillId="39" borderId="14" xfId="0" applyFont="1" applyFill="1" applyBorder="1" applyAlignment="1">
      <alignment horizontal="center" vertical="center"/>
    </xf>
    <xf numFmtId="0" fontId="86" fillId="40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vertical="center"/>
    </xf>
    <xf numFmtId="0" fontId="86" fillId="39" borderId="26" xfId="0" applyFont="1" applyFill="1" applyBorder="1" applyAlignment="1">
      <alignment horizontal="center" vertical="center" wrapText="1"/>
    </xf>
    <xf numFmtId="0" fontId="86" fillId="39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37" fontId="16" fillId="41" borderId="12" xfId="0" applyNumberFormat="1" applyFont="1" applyFill="1" applyBorder="1" applyAlignment="1" applyProtection="1">
      <alignment horizontal="right" vertical="center"/>
      <protection locked="0"/>
    </xf>
    <xf numFmtId="5" fontId="16" fillId="41" borderId="12" xfId="0" applyNumberFormat="1" applyFont="1" applyFill="1" applyBorder="1" applyAlignment="1" applyProtection="1">
      <alignment horizontal="right" vertical="center"/>
      <protection locked="0"/>
    </xf>
    <xf numFmtId="2" fontId="16" fillId="41" borderId="12" xfId="0" applyNumberFormat="1" applyFont="1" applyFill="1" applyBorder="1" applyAlignment="1" applyProtection="1">
      <alignment horizontal="right" vertical="center"/>
      <protection locked="0"/>
    </xf>
    <xf numFmtId="10" fontId="29" fillId="41" borderId="12" xfId="0" applyNumberFormat="1" applyFont="1" applyFill="1" applyBorder="1" applyAlignment="1" applyProtection="1">
      <alignment vertical="center"/>
      <protection locked="0"/>
    </xf>
    <xf numFmtId="167" fontId="29" fillId="41" borderId="12" xfId="0" applyNumberFormat="1" applyFont="1" applyFill="1" applyBorder="1" applyAlignment="1" applyProtection="1">
      <alignment vertical="center"/>
      <protection locked="0"/>
    </xf>
    <xf numFmtId="0" fontId="90" fillId="43" borderId="24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vertical="center"/>
    </xf>
    <xf numFmtId="0" fontId="91" fillId="34" borderId="12" xfId="0" applyFont="1" applyFill="1" applyBorder="1" applyAlignment="1">
      <alignment vertical="center"/>
    </xf>
    <xf numFmtId="0" fontId="92" fillId="33" borderId="11" xfId="0" applyFont="1" applyFill="1" applyBorder="1" applyAlignment="1">
      <alignment vertical="center"/>
    </xf>
    <xf numFmtId="0" fontId="91" fillId="40" borderId="25" xfId="0" applyFont="1" applyFill="1" applyBorder="1" applyAlignment="1">
      <alignment horizontal="left" vertical="center" wrapText="1"/>
    </xf>
    <xf numFmtId="0" fontId="91" fillId="40" borderId="0" xfId="0" applyFont="1" applyFill="1" applyBorder="1" applyAlignment="1">
      <alignment horizontal="center" vertical="center" wrapText="1"/>
    </xf>
    <xf numFmtId="0" fontId="91" fillId="40" borderId="13" xfId="0" applyFont="1" applyFill="1" applyBorder="1" applyAlignment="1">
      <alignment vertical="center" wrapText="1"/>
    </xf>
    <xf numFmtId="0" fontId="93" fillId="40" borderId="28" xfId="0" applyFont="1" applyFill="1" applyBorder="1" applyAlignment="1">
      <alignment horizontal="left" vertical="center" wrapText="1"/>
    </xf>
    <xf numFmtId="10" fontId="86" fillId="40" borderId="29" xfId="0" applyNumberFormat="1" applyFont="1" applyFill="1" applyBorder="1" applyAlignment="1">
      <alignment horizontal="center" vertical="center" wrapText="1"/>
    </xf>
    <xf numFmtId="0" fontId="91" fillId="40" borderId="30" xfId="0" applyFont="1" applyFill="1" applyBorder="1" applyAlignment="1">
      <alignment horizontal="center" vertical="center" wrapText="1"/>
    </xf>
    <xf numFmtId="0" fontId="93" fillId="40" borderId="31" xfId="0" applyFont="1" applyFill="1" applyBorder="1" applyAlignment="1">
      <alignment horizontal="left" vertical="center" wrapText="1"/>
    </xf>
    <xf numFmtId="173" fontId="86" fillId="40" borderId="14" xfId="0" applyNumberFormat="1" applyFont="1" applyFill="1" applyBorder="1" applyAlignment="1">
      <alignment horizontal="center" vertical="center" wrapText="1"/>
    </xf>
    <xf numFmtId="0" fontId="91" fillId="40" borderId="16" xfId="0" applyFont="1" applyFill="1" applyBorder="1" applyAlignment="1">
      <alignment horizontal="center" vertical="center" wrapText="1"/>
    </xf>
    <xf numFmtId="0" fontId="90" fillId="43" borderId="24" xfId="0" applyFont="1" applyFill="1" applyBorder="1" applyAlignment="1">
      <alignment horizontal="left" vertical="center"/>
    </xf>
    <xf numFmtId="2" fontId="16" fillId="40" borderId="10" xfId="0" applyNumberFormat="1" applyFont="1" applyFill="1" applyBorder="1" applyAlignment="1" applyProtection="1">
      <alignment horizontal="center" vertical="center"/>
      <protection locked="0"/>
    </xf>
    <xf numFmtId="0" fontId="4" fillId="40" borderId="10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left" vertical="center"/>
    </xf>
    <xf numFmtId="37" fontId="15" fillId="34" borderId="2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/>
    </xf>
    <xf numFmtId="0" fontId="4" fillId="45" borderId="0" xfId="0" applyFont="1" applyFill="1" applyBorder="1" applyAlignment="1">
      <alignment vertical="center"/>
    </xf>
    <xf numFmtId="0" fontId="94" fillId="45" borderId="0" xfId="0" applyFont="1" applyFill="1" applyBorder="1" applyAlignment="1">
      <alignment horizontal="left" vertical="center"/>
    </xf>
    <xf numFmtId="37" fontId="94" fillId="45" borderId="0" xfId="0" applyNumberFormat="1" applyFont="1" applyFill="1" applyBorder="1" applyAlignment="1">
      <alignment horizontal="right" vertical="center"/>
    </xf>
    <xf numFmtId="0" fontId="95" fillId="45" borderId="0" xfId="0" applyFont="1" applyFill="1" applyBorder="1" applyAlignment="1">
      <alignment horizontal="left" vertical="center"/>
    </xf>
    <xf numFmtId="37" fontId="95" fillId="45" borderId="0" xfId="0" applyNumberFormat="1" applyFont="1" applyFill="1" applyBorder="1" applyAlignment="1">
      <alignment horizontal="right" vertical="center"/>
    </xf>
    <xf numFmtId="0" fontId="96" fillId="45" borderId="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 vertical="top"/>
    </xf>
    <xf numFmtId="0" fontId="20" fillId="34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left"/>
    </xf>
    <xf numFmtId="0" fontId="23" fillId="34" borderId="11" xfId="0" applyFont="1" applyFill="1" applyBorder="1" applyAlignment="1" applyProtection="1">
      <alignment horizontal="center" vertical="top"/>
      <protection locked="0"/>
    </xf>
    <xf numFmtId="0" fontId="23" fillId="33" borderId="11" xfId="0" applyFont="1" applyFill="1" applyBorder="1" applyAlignment="1" applyProtection="1">
      <alignment horizontal="center" vertical="top"/>
      <protection locked="0"/>
    </xf>
    <xf numFmtId="170" fontId="20" fillId="34" borderId="11" xfId="0" applyNumberFormat="1" applyFont="1" applyFill="1" applyBorder="1" applyAlignment="1">
      <alignment horizontal="center" vertical="top"/>
    </xf>
    <xf numFmtId="170" fontId="20" fillId="33" borderId="11" xfId="0" applyNumberFormat="1" applyFont="1" applyFill="1" applyBorder="1" applyAlignment="1">
      <alignment horizontal="center" vertical="top"/>
    </xf>
    <xf numFmtId="170" fontId="20" fillId="34" borderId="11" xfId="0" applyNumberFormat="1" applyFont="1" applyFill="1" applyBorder="1" applyAlignment="1" applyProtection="1">
      <alignment horizontal="center" vertical="top"/>
      <protection/>
    </xf>
    <xf numFmtId="170" fontId="20" fillId="33" borderId="11" xfId="0" applyNumberFormat="1" applyFont="1" applyFill="1" applyBorder="1" applyAlignment="1" applyProtection="1">
      <alignment horizontal="center" vertical="top"/>
      <protection/>
    </xf>
    <xf numFmtId="2" fontId="23" fillId="34" borderId="12" xfId="0" applyNumberFormat="1" applyFont="1" applyFill="1" applyBorder="1" applyAlignment="1" applyProtection="1">
      <alignment horizontal="center" vertical="top"/>
      <protection locked="0"/>
    </xf>
    <xf numFmtId="164" fontId="20" fillId="33" borderId="11" xfId="0" applyNumberFormat="1" applyFont="1" applyFill="1" applyBorder="1" applyAlignment="1">
      <alignment horizontal="center" vertical="top"/>
    </xf>
    <xf numFmtId="164" fontId="20" fillId="34" borderId="11" xfId="0" applyNumberFormat="1" applyFont="1" applyFill="1" applyBorder="1" applyAlignment="1">
      <alignment horizontal="center" vertical="top"/>
    </xf>
    <xf numFmtId="0" fontId="10" fillId="39" borderId="11" xfId="0" applyFont="1" applyFill="1" applyBorder="1" applyAlignment="1">
      <alignment horizontal="center" vertical="center"/>
    </xf>
    <xf numFmtId="2" fontId="97" fillId="39" borderId="12" xfId="0" applyNumberFormat="1" applyFont="1" applyFill="1" applyBorder="1" applyAlignment="1" applyProtection="1">
      <alignment horizontal="right" vertical="center"/>
      <protection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164" fontId="11" fillId="34" borderId="11" xfId="0" applyNumberFormat="1" applyFont="1" applyFill="1" applyBorder="1" applyAlignment="1">
      <alignment horizontal="center"/>
    </xf>
    <xf numFmtId="1" fontId="15" fillId="34" borderId="11" xfId="0" applyNumberFormat="1" applyFont="1" applyFill="1" applyBorder="1" applyAlignment="1" applyProtection="1">
      <alignment vertical="center"/>
      <protection/>
    </xf>
    <xf numFmtId="0" fontId="31" fillId="33" borderId="32" xfId="0" applyFont="1" applyFill="1" applyBorder="1" applyAlignment="1">
      <alignment vertical="center"/>
    </xf>
    <xf numFmtId="0" fontId="32" fillId="46" borderId="11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/>
    </xf>
    <xf numFmtId="0" fontId="98" fillId="41" borderId="11" xfId="0" applyFont="1" applyFill="1" applyBorder="1" applyAlignment="1">
      <alignment horizontal="center" vertical="center"/>
    </xf>
    <xf numFmtId="0" fontId="99" fillId="41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top"/>
    </xf>
    <xf numFmtId="0" fontId="20" fillId="34" borderId="12" xfId="0" applyFont="1" applyFill="1" applyBorder="1" applyAlignment="1">
      <alignment horizontal="left" vertical="top"/>
    </xf>
    <xf numFmtId="0" fontId="23" fillId="33" borderId="10" xfId="0" applyFont="1" applyFill="1" applyBorder="1" applyAlignment="1" applyProtection="1">
      <alignment horizontal="left"/>
      <protection locked="0"/>
    </xf>
    <xf numFmtId="0" fontId="23" fillId="33" borderId="12" xfId="0" applyFont="1" applyFill="1" applyBorder="1" applyAlignment="1" applyProtection="1">
      <alignment horizontal="left"/>
      <protection locked="0"/>
    </xf>
    <xf numFmtId="0" fontId="32" fillId="47" borderId="11" xfId="0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0" fontId="20" fillId="33" borderId="12" xfId="0" applyFont="1" applyFill="1" applyBorder="1" applyAlignment="1">
      <alignment horizontal="left"/>
    </xf>
    <xf numFmtId="0" fontId="20" fillId="34" borderId="10" xfId="0" applyFont="1" applyFill="1" applyBorder="1" applyAlignment="1">
      <alignment horizontal="left"/>
    </xf>
    <xf numFmtId="0" fontId="20" fillId="34" borderId="12" xfId="0" applyFont="1" applyFill="1" applyBorder="1" applyAlignment="1">
      <alignment horizontal="left"/>
    </xf>
    <xf numFmtId="0" fontId="33" fillId="48" borderId="11" xfId="0" applyFont="1" applyFill="1" applyBorder="1" applyAlignment="1">
      <alignment horizontal="center" vertical="center"/>
    </xf>
    <xf numFmtId="0" fontId="100" fillId="39" borderId="11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left" vertical="center"/>
    </xf>
    <xf numFmtId="0" fontId="18" fillId="39" borderId="0" xfId="0" applyFont="1" applyFill="1" applyBorder="1" applyAlignment="1">
      <alignment horizontal="center" vertical="center"/>
    </xf>
    <xf numFmtId="0" fontId="100" fillId="49" borderId="28" xfId="0" applyFont="1" applyFill="1" applyBorder="1" applyAlignment="1">
      <alignment horizontal="center" vertical="center"/>
    </xf>
    <xf numFmtId="0" fontId="100" fillId="49" borderId="29" xfId="0" applyFont="1" applyFill="1" applyBorder="1" applyAlignment="1">
      <alignment horizontal="center" vertical="center"/>
    </xf>
    <xf numFmtId="0" fontId="100" fillId="49" borderId="30" xfId="0" applyFont="1" applyFill="1" applyBorder="1" applyAlignment="1">
      <alignment horizontal="center" vertical="center"/>
    </xf>
    <xf numFmtId="0" fontId="100" fillId="49" borderId="31" xfId="0" applyFont="1" applyFill="1" applyBorder="1" applyAlignment="1">
      <alignment horizontal="center" vertical="center"/>
    </xf>
    <xf numFmtId="0" fontId="100" fillId="49" borderId="14" xfId="0" applyFont="1" applyFill="1" applyBorder="1" applyAlignment="1">
      <alignment horizontal="center" vertical="center"/>
    </xf>
    <xf numFmtId="0" fontId="100" fillId="49" borderId="16" xfId="0" applyFont="1" applyFill="1" applyBorder="1" applyAlignment="1">
      <alignment horizontal="center" vertical="center"/>
    </xf>
    <xf numFmtId="0" fontId="89" fillId="33" borderId="15" xfId="0" applyFont="1" applyFill="1" applyBorder="1" applyAlignment="1">
      <alignment horizontal="center" vertical="center"/>
    </xf>
    <xf numFmtId="0" fontId="101" fillId="49" borderId="28" xfId="0" applyFont="1" applyFill="1" applyBorder="1" applyAlignment="1">
      <alignment horizontal="center" vertical="center"/>
    </xf>
    <xf numFmtId="0" fontId="101" fillId="49" borderId="29" xfId="0" applyFont="1" applyFill="1" applyBorder="1" applyAlignment="1">
      <alignment horizontal="center" vertical="center"/>
    </xf>
    <xf numFmtId="0" fontId="101" fillId="49" borderId="30" xfId="0" applyFont="1" applyFill="1" applyBorder="1" applyAlignment="1">
      <alignment horizontal="center" vertical="center"/>
    </xf>
    <xf numFmtId="0" fontId="101" fillId="49" borderId="31" xfId="0" applyFont="1" applyFill="1" applyBorder="1" applyAlignment="1">
      <alignment horizontal="center" vertical="center"/>
    </xf>
    <xf numFmtId="0" fontId="101" fillId="49" borderId="14" xfId="0" applyFont="1" applyFill="1" applyBorder="1" applyAlignment="1">
      <alignment horizontal="center" vertical="center"/>
    </xf>
    <xf numFmtId="0" fontId="101" fillId="49" borderId="16" xfId="0" applyFont="1" applyFill="1" applyBorder="1" applyAlignment="1">
      <alignment horizontal="center" vertical="center"/>
    </xf>
    <xf numFmtId="0" fontId="23" fillId="34" borderId="10" xfId="0" applyFont="1" applyFill="1" applyBorder="1" applyAlignment="1" applyProtection="1">
      <alignment horizontal="left"/>
      <protection locked="0"/>
    </xf>
    <xf numFmtId="0" fontId="23" fillId="34" borderId="12" xfId="0" applyFont="1" applyFill="1" applyBorder="1" applyAlignment="1" applyProtection="1">
      <alignment horizontal="left"/>
      <protection locked="0"/>
    </xf>
    <xf numFmtId="0" fontId="91" fillId="39" borderId="11" xfId="0" applyFont="1" applyFill="1" applyBorder="1" applyAlignment="1">
      <alignment horizontal="center" vertical="center"/>
    </xf>
    <xf numFmtId="0" fontId="91" fillId="39" borderId="10" xfId="0" applyFont="1" applyFill="1" applyBorder="1" applyAlignment="1">
      <alignment horizontal="center" vertical="center"/>
    </xf>
    <xf numFmtId="0" fontId="91" fillId="39" borderId="24" xfId="0" applyFont="1" applyFill="1" applyBorder="1" applyAlignment="1">
      <alignment horizontal="center" vertical="center"/>
    </xf>
    <xf numFmtId="0" fontId="91" fillId="39" borderId="28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36" borderId="31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9" fillId="36" borderId="16" xfId="0" applyFont="1" applyFill="1" applyBorder="1" applyAlignment="1">
      <alignment horizontal="center" vertical="center" wrapText="1"/>
    </xf>
    <xf numFmtId="49" fontId="10" fillId="50" borderId="0" xfId="0" applyNumberFormat="1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 horizontal="center"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0" fillId="39" borderId="33" xfId="0" applyFont="1" applyFill="1" applyBorder="1" applyAlignment="1">
      <alignment horizontal="center" vertical="center" wrapText="1"/>
    </xf>
    <xf numFmtId="0" fontId="10" fillId="39" borderId="34" xfId="0" applyFont="1" applyFill="1" applyBorder="1" applyAlignment="1">
      <alignment horizontal="center" vertical="center" wrapText="1"/>
    </xf>
    <xf numFmtId="0" fontId="10" fillId="39" borderId="35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10" fillId="39" borderId="31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9" fontId="10" fillId="50" borderId="17" xfId="0" applyNumberFormat="1" applyFont="1" applyFill="1" applyBorder="1" applyAlignment="1">
      <alignment horizontal="center" vertical="center" wrapText="1"/>
    </xf>
    <xf numFmtId="49" fontId="10" fillId="50" borderId="18" xfId="0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39" borderId="3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"/>
          <c:w val="0.9855"/>
          <c:h val="0.81375"/>
        </c:manualLayout>
      </c:layout>
      <c:scatterChart>
        <c:scatterStyle val="lineMarker"/>
        <c:varyColors val="0"/>
        <c:ser>
          <c:idx val="3"/>
          <c:order val="0"/>
          <c:tx>
            <c:strRef>
              <c:f>'Economic Analysis'!$O$20</c:f>
              <c:strCache>
                <c:ptCount val="1"/>
                <c:pt idx="0">
                  <c:v>Cleaning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 Analysis'!$A$23:$A$51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'Economic Analysis'!$O$23:$O$51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10000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10000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10000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10000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'Economic Analysis'!$K$20</c:f>
              <c:strCache>
                <c:ptCount val="1"/>
                <c:pt idx="0">
                  <c:v>Cumulative energy wasted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 Analysis'!$A$23:$A$51</c:f>
              <c:numCache>
                <c:ptCount val="2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</c:numCache>
            </c:numRef>
          </c:xVal>
          <c:yVal>
            <c:numRef>
              <c:f>'Economic Analysis'!$K$23:$K$51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1433.6828728896871</c:v>
                </c:pt>
                <c:pt idx="3">
                  <c:v>4385.133996950281</c:v>
                </c:pt>
                <c:pt idx="4">
                  <c:v>8946.089860374806</c:v>
                </c:pt>
                <c:pt idx="5">
                  <c:v>5216.894386595821</c:v>
                </c:pt>
                <c:pt idx="6">
                  <c:v>5216.894386595821</c:v>
                </c:pt>
                <c:pt idx="7">
                  <c:v>6650.577259485508</c:v>
                </c:pt>
                <c:pt idx="8">
                  <c:v>9602.028383546101</c:v>
                </c:pt>
                <c:pt idx="9">
                  <c:v>4162.984246970627</c:v>
                </c:pt>
                <c:pt idx="10">
                  <c:v>4162.984246970627</c:v>
                </c:pt>
                <c:pt idx="11">
                  <c:v>5596.667119860314</c:v>
                </c:pt>
                <c:pt idx="12">
                  <c:v>8548.118243920908</c:v>
                </c:pt>
                <c:pt idx="13">
                  <c:v>3109.0741073454337</c:v>
                </c:pt>
                <c:pt idx="14">
                  <c:v>3109.0741073454337</c:v>
                </c:pt>
                <c:pt idx="15">
                  <c:v>4542.756980235121</c:v>
                </c:pt>
                <c:pt idx="16">
                  <c:v>7494.208104295714</c:v>
                </c:pt>
                <c:pt idx="17">
                  <c:v>2055.16396772024</c:v>
                </c:pt>
                <c:pt idx="18">
                  <c:v>2055.16396772024</c:v>
                </c:pt>
                <c:pt idx="19">
                  <c:v>3488.8468406099273</c:v>
                </c:pt>
                <c:pt idx="20">
                  <c:v>6440.297964670521</c:v>
                </c:pt>
                <c:pt idx="21">
                  <c:v>1001.2538280950466</c:v>
                </c:pt>
                <c:pt idx="22">
                  <c:v>1001.2538280950466</c:v>
                </c:pt>
                <c:pt idx="23">
                  <c:v>2434.9367009847338</c:v>
                </c:pt>
                <c:pt idx="24">
                  <c:v>5386.387825045327</c:v>
                </c:pt>
                <c:pt idx="25">
                  <c:v>9947.343688469853</c:v>
                </c:pt>
                <c:pt idx="26">
                  <c:v>6218.1482146908675</c:v>
                </c:pt>
                <c:pt idx="27">
                  <c:v>6218.1482146908675</c:v>
                </c:pt>
                <c:pt idx="28">
                  <c:v>7651.831087580562</c:v>
                </c:pt>
              </c:numCache>
            </c:numRef>
          </c:yVal>
          <c:smooth val="0"/>
        </c:ser>
        <c:axId val="63163877"/>
        <c:axId val="31603982"/>
      </c:scatterChart>
      <c:valAx>
        <c:axId val="6316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Months in operation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982"/>
        <c:crosses val="autoZero"/>
        <c:crossBetween val="midCat"/>
        <c:dispUnits/>
      </c:valAx>
      <c:valAx>
        <c:axId val="31603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</a:rPr>
                  <a:t>Costs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77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5"/>
          <c:y val="0.00825"/>
          <c:w val="0.9765"/>
          <c:h val="0.13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725"/>
          <c:w val="0.939"/>
          <c:h val="0.8645"/>
        </c:manualLayout>
      </c:layout>
      <c:scatterChart>
        <c:scatterStyle val="lineMarker"/>
        <c:varyColors val="0"/>
        <c:ser>
          <c:idx val="3"/>
          <c:order val="0"/>
          <c:tx>
            <c:strRef>
              <c:f>'Economic Analysis'!$O$20</c:f>
              <c:strCache>
                <c:ptCount val="1"/>
                <c:pt idx="0">
                  <c:v>Cleaning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'Economic Analysis'!$A$23:$A$51</c:f>
              <c:numCache/>
            </c:numRef>
          </c:xVal>
          <c:yVal>
            <c:numRef>
              <c:f>'Economic Analysis'!$O$23:$O$51</c:f>
              <c:numCache/>
            </c:numRef>
          </c:yVal>
          <c:smooth val="0"/>
        </c:ser>
        <c:ser>
          <c:idx val="0"/>
          <c:order val="1"/>
          <c:tx>
            <c:strRef>
              <c:f>'Economic Analysis'!$F$20</c:f>
              <c:strCache>
                <c:ptCount val="1"/>
                <c:pt idx="0">
                  <c:v>Power Loss factor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'Economic Analysis'!$A$23:$A$51</c:f>
              <c:numCache/>
            </c:numRef>
          </c:xVal>
          <c:yVal>
            <c:numRef>
              <c:f>'Economic Analysis'!$F$23:$F$51</c:f>
              <c:numCache/>
            </c:numRef>
          </c:yVal>
          <c:smooth val="0"/>
        </c:ser>
        <c:ser>
          <c:idx val="1"/>
          <c:order val="2"/>
          <c:tx>
            <c:strRef>
              <c:f>'Economic Analysis'!$K$20</c:f>
              <c:strCache>
                <c:ptCount val="1"/>
                <c:pt idx="0">
                  <c:v>Cumulative energy wasted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'Economic Analysis'!$A$23:$A$51</c:f>
              <c:numCache/>
            </c:numRef>
          </c:xVal>
          <c:yVal>
            <c:numRef>
              <c:f>'Economic Analysis'!$K$23:$K$51</c:f>
              <c:numCache/>
            </c:numRef>
          </c:yVal>
          <c:smooth val="0"/>
        </c:ser>
        <c:ser>
          <c:idx val="2"/>
          <c:order val="3"/>
          <c:tx>
            <c:strRef>
              <c:f>'Economic Analysis'!$L$20</c:f>
              <c:strCache>
                <c:ptCount val="1"/>
                <c:pt idx="0">
                  <c:v>DPower to Cleaning factor</c:v>
                </c:pt>
              </c:strCache>
            </c:strRef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xVal>
            <c:numRef>
              <c:f>'Economic Analysis'!$A$23:$A$51</c:f>
              <c:numCache/>
            </c:numRef>
          </c:xVal>
          <c:yVal>
            <c:numRef>
              <c:f>'Economic Analysis'!$L$23:$L$51</c:f>
              <c:numCache/>
            </c:numRef>
          </c:yVal>
          <c:smooth val="0"/>
        </c:ser>
        <c:axId val="16000383"/>
        <c:axId val="9785720"/>
      </c:scatterChart>
      <c:val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Months in operation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5720"/>
        <c:crosses val="autoZero"/>
        <c:crossBetween val="midCat"/>
        <c:dispUnits/>
      </c:val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Costs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0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875"/>
          <c:y val="0.00725"/>
          <c:w val="0.413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333399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16"/>
          <c:w val="0.92075"/>
          <c:h val="0.9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'Economic Analysis'!$F$20</c:f>
              <c:strCache>
                <c:ptCount val="1"/>
                <c:pt idx="0">
                  <c:v>Power Loss factor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 Analysis'!$A$23:$A$51</c:f>
              <c:numCache/>
            </c:numRef>
          </c:xVal>
          <c:yVal>
            <c:numRef>
              <c:f>'Economic Analysis'!$F$23:$F$51</c:f>
              <c:numCache/>
            </c:numRef>
          </c:yVal>
          <c:smooth val="0"/>
        </c:ser>
        <c:ser>
          <c:idx val="4"/>
          <c:order val="1"/>
          <c:tx>
            <c:strRef>
              <c:f>'Economic Analysis'!$L$20</c:f>
              <c:strCache>
                <c:ptCount val="1"/>
                <c:pt idx="0">
                  <c:v>DPower to Cleaning factor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 Analysis'!$A$23:$A$51</c:f>
              <c:numCache/>
            </c:numRef>
          </c:xVal>
          <c:yVal>
            <c:numRef>
              <c:f>'Economic Analysis'!$L$23:$L$51</c:f>
              <c:numCache/>
            </c:numRef>
          </c:yVal>
          <c:smooth val="0"/>
        </c:ser>
        <c:ser>
          <c:idx val="1"/>
          <c:order val="2"/>
          <c:tx>
            <c:strRef>
              <c:f>'Economic Analysis'!$M$20</c:f>
              <c:strCache>
                <c:ptCount val="1"/>
                <c:pt idx="0">
                  <c:v>Power to Cleaning ratio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 Analysis'!$A$23:$A$51</c:f>
              <c:numCache/>
            </c:numRef>
          </c:xVal>
          <c:yVal>
            <c:numRef>
              <c:f>'Economic Analysis'!$M$23:$M$51</c:f>
              <c:numCache/>
            </c:numRef>
          </c:yVal>
          <c:smooth val="0"/>
        </c:ser>
        <c:axId val="20962617"/>
        <c:axId val="54445826"/>
      </c:scatterChart>
      <c:valAx>
        <c:axId val="2096261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months in operation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45826"/>
        <c:crosses val="autoZero"/>
        <c:crossBetween val="midCat"/>
        <c:dispUnits/>
      </c:val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ratios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962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9"/>
          <c:y val="0.00475"/>
          <c:w val="0.257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3225"/>
          <c:w val="0.913"/>
          <c:h val="0.8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'Economic Analysis'!$L$23:$L$51</c:f>
              <c:numCache/>
            </c:numRef>
          </c:xVal>
          <c:yVal>
            <c:numRef>
              <c:f>'Economic Analysis'!$F$23:$F$51</c:f>
              <c:numCache/>
            </c:numRef>
          </c:yVal>
          <c:smooth val="0"/>
        </c:ser>
        <c:axId val="20250387"/>
        <c:axId val="48035756"/>
      </c:scatterChart>
      <c:val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Power/cleaning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5756"/>
        <c:crosses val="autoZero"/>
        <c:crossBetween val="midCat"/>
        <c:dispUnits/>
      </c:valAx>
      <c:valAx>
        <c:axId val="48035756"/>
        <c:scaling>
          <c:orientation val="minMax"/>
          <c:max val="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Power/initial power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50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67</xdr:row>
      <xdr:rowOff>0</xdr:rowOff>
    </xdr:from>
    <xdr:to>
      <xdr:col>13</xdr:col>
      <xdr:colOff>142875</xdr:colOff>
      <xdr:row>82</xdr:row>
      <xdr:rowOff>142875</xdr:rowOff>
    </xdr:to>
    <xdr:graphicFrame>
      <xdr:nvGraphicFramePr>
        <xdr:cNvPr id="1" name="Chart 21"/>
        <xdr:cNvGraphicFramePr/>
      </xdr:nvGraphicFramePr>
      <xdr:xfrm>
        <a:off x="7934325" y="12544425"/>
        <a:ext cx="51816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0.0605</cdr:y>
    </cdr:from>
    <cdr:to>
      <cdr:x>0.94525</cdr:x>
      <cdr:y>0.839</cdr:y>
    </cdr:to>
    <cdr:sp>
      <cdr:nvSpPr>
        <cdr:cNvPr id="1" name="Line 1029"/>
        <cdr:cNvSpPr>
          <a:spLocks/>
        </cdr:cNvSpPr>
      </cdr:nvSpPr>
      <cdr:spPr>
        <a:xfrm flipV="1">
          <a:off x="981075" y="171450"/>
          <a:ext cx="45624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942975</xdr:colOff>
      <xdr:row>0</xdr:row>
      <xdr:rowOff>95250</xdr:rowOff>
    </xdr:from>
    <xdr:to>
      <xdr:col>11</xdr:col>
      <xdr:colOff>123825</xdr:colOff>
      <xdr:row>15</xdr:row>
      <xdr:rowOff>28575</xdr:rowOff>
    </xdr:to>
    <xdr:graphicFrame>
      <xdr:nvGraphicFramePr>
        <xdr:cNvPr id="1" name="Chart 21"/>
        <xdr:cNvGraphicFramePr/>
      </xdr:nvGraphicFramePr>
      <xdr:xfrm>
        <a:off x="3333750" y="95250"/>
        <a:ext cx="47339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123825</xdr:colOff>
      <xdr:row>16</xdr:row>
      <xdr:rowOff>104775</xdr:rowOff>
    </xdr:from>
    <xdr:to>
      <xdr:col>21</xdr:col>
      <xdr:colOff>590550</xdr:colOff>
      <xdr:row>51</xdr:row>
      <xdr:rowOff>123825</xdr:rowOff>
    </xdr:to>
    <xdr:graphicFrame>
      <xdr:nvGraphicFramePr>
        <xdr:cNvPr id="2" name="Chart 64"/>
        <xdr:cNvGraphicFramePr/>
      </xdr:nvGraphicFramePr>
      <xdr:xfrm>
        <a:off x="11868150" y="3028950"/>
        <a:ext cx="5857875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104775</xdr:colOff>
      <xdr:row>0</xdr:row>
      <xdr:rowOff>57150</xdr:rowOff>
    </xdr:from>
    <xdr:to>
      <xdr:col>21</xdr:col>
      <xdr:colOff>581025</xdr:colOff>
      <xdr:row>16</xdr:row>
      <xdr:rowOff>57150</xdr:rowOff>
    </xdr:to>
    <xdr:graphicFrame>
      <xdr:nvGraphicFramePr>
        <xdr:cNvPr id="3" name="Chart 69"/>
        <xdr:cNvGraphicFramePr/>
      </xdr:nvGraphicFramePr>
      <xdr:xfrm>
        <a:off x="11849100" y="57150"/>
        <a:ext cx="58674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2060"/>
  </sheetPr>
  <dimension ref="A1:P87"/>
  <sheetViews>
    <sheetView tabSelected="1" zoomScalePageLayoutView="0" workbookViewId="0" topLeftCell="A1">
      <selection activeCell="G10" sqref="G10"/>
    </sheetView>
  </sheetViews>
  <sheetFormatPr defaultColWidth="17.375" defaultRowHeight="12.75"/>
  <cols>
    <col min="1" max="1" width="1.37890625" style="102" customWidth="1"/>
    <col min="2" max="2" width="22.125" style="102" customWidth="1"/>
    <col min="3" max="3" width="15.125" style="102" customWidth="1"/>
    <col min="4" max="4" width="14.875" style="102" customWidth="1"/>
    <col min="5" max="5" width="12.625" style="102" customWidth="1"/>
    <col min="6" max="6" width="11.625" style="102" customWidth="1"/>
    <col min="7" max="7" width="13.00390625" style="102" customWidth="1"/>
    <col min="8" max="8" width="11.625" style="102" customWidth="1"/>
    <col min="9" max="10" width="1.37890625" style="102" customWidth="1"/>
    <col min="11" max="11" width="26.875" style="102" bestFit="1" customWidth="1"/>
    <col min="12" max="12" width="19.00390625" style="102" customWidth="1"/>
    <col min="13" max="13" width="19.25390625" style="102" bestFit="1" customWidth="1"/>
    <col min="14" max="16384" width="17.375" style="102" customWidth="1"/>
  </cols>
  <sheetData>
    <row r="1" spans="1:13" s="110" customFormat="1" ht="30" customHeight="1">
      <c r="A1" s="109"/>
      <c r="B1" s="218" t="s">
        <v>30</v>
      </c>
      <c r="C1" s="218"/>
      <c r="D1" s="218"/>
      <c r="E1" s="218"/>
      <c r="F1" s="218"/>
      <c r="G1" s="218"/>
      <c r="H1" s="218"/>
      <c r="I1" s="109"/>
      <c r="J1" s="109"/>
      <c r="K1" s="226" t="s">
        <v>31</v>
      </c>
      <c r="L1" s="226"/>
      <c r="M1" s="226"/>
    </row>
    <row r="2" spans="1:13" s="110" customFormat="1" ht="22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10" customFormat="1" ht="22.5" customHeight="1">
      <c r="A3" s="109"/>
      <c r="B3" s="220" t="s">
        <v>184</v>
      </c>
      <c r="C3" s="220"/>
      <c r="D3" s="220"/>
      <c r="E3" s="220"/>
      <c r="F3" s="220"/>
      <c r="G3" s="220"/>
      <c r="H3" s="220"/>
      <c r="I3" s="109"/>
      <c r="J3" s="109"/>
      <c r="K3" s="234" t="s">
        <v>126</v>
      </c>
      <c r="L3" s="234"/>
      <c r="M3" s="234"/>
    </row>
    <row r="4" spans="2:5" s="111" customFormat="1" ht="22.5" customHeight="1">
      <c r="B4" s="112" t="s">
        <v>65</v>
      </c>
      <c r="C4" s="112"/>
      <c r="D4" s="112"/>
      <c r="E4" s="113"/>
    </row>
    <row r="5" spans="2:5" s="111" customFormat="1" ht="15" customHeight="1">
      <c r="B5" s="18" t="s">
        <v>123</v>
      </c>
      <c r="C5" s="35">
        <v>25</v>
      </c>
      <c r="D5" s="107" t="s">
        <v>57</v>
      </c>
      <c r="E5" s="114"/>
    </row>
    <row r="6" spans="2:13" s="111" customFormat="1" ht="15" customHeight="1">
      <c r="B6" s="115"/>
      <c r="C6" s="18">
        <f>C5*1000000*0.00378</f>
        <v>94500</v>
      </c>
      <c r="D6" s="107" t="s">
        <v>157</v>
      </c>
      <c r="E6" s="114"/>
      <c r="K6" s="116"/>
      <c r="L6" s="116"/>
      <c r="M6" s="116"/>
    </row>
    <row r="7" spans="2:13" s="111" customFormat="1" ht="15" customHeight="1">
      <c r="B7" s="18" t="s">
        <v>149</v>
      </c>
      <c r="C7" s="35">
        <v>250</v>
      </c>
      <c r="D7" s="107" t="s">
        <v>58</v>
      </c>
      <c r="E7" s="117"/>
      <c r="F7" s="18" t="s">
        <v>188</v>
      </c>
      <c r="G7" s="35">
        <v>8.8</v>
      </c>
      <c r="H7" s="107" t="s">
        <v>189</v>
      </c>
      <c r="K7" s="18" t="s">
        <v>153</v>
      </c>
      <c r="L7" s="3">
        <f>L8/0.454</f>
        <v>85106.20044052863</v>
      </c>
      <c r="M7" s="107" t="s">
        <v>45</v>
      </c>
    </row>
    <row r="8" spans="2:13" s="111" customFormat="1" ht="15" customHeight="1">
      <c r="B8" s="18" t="s">
        <v>150</v>
      </c>
      <c r="C8" s="35">
        <v>40</v>
      </c>
      <c r="D8" s="107" t="s">
        <v>58</v>
      </c>
      <c r="F8" s="18" t="s">
        <v>190</v>
      </c>
      <c r="G8" s="216">
        <f>C5/24*G7</f>
        <v>9.166666666666668</v>
      </c>
      <c r="H8" s="107" t="s">
        <v>197</v>
      </c>
      <c r="L8" s="3">
        <f>C6*((C7-C9)+4.33*(C8-C10))/1000</f>
        <v>38638.215</v>
      </c>
      <c r="M8" s="107" t="s">
        <v>46</v>
      </c>
    </row>
    <row r="9" spans="2:13" s="111" customFormat="1" ht="15" customHeight="1">
      <c r="B9" s="18" t="s">
        <v>151</v>
      </c>
      <c r="C9" s="35">
        <v>10</v>
      </c>
      <c r="D9" s="107" t="s">
        <v>58</v>
      </c>
      <c r="F9" s="102"/>
      <c r="G9" s="216">
        <f>G8*0.00378*1000000</f>
        <v>34650.00000000001</v>
      </c>
      <c r="H9" s="107" t="s">
        <v>191</v>
      </c>
      <c r="K9" s="18" t="s">
        <v>50</v>
      </c>
      <c r="L9" s="3">
        <f>L7-1.42*C12</f>
        <v>63430.870044052856</v>
      </c>
      <c r="M9" s="107" t="s">
        <v>45</v>
      </c>
    </row>
    <row r="10" spans="2:13" s="111" customFormat="1" ht="15" customHeight="1">
      <c r="B10" s="18" t="s">
        <v>152</v>
      </c>
      <c r="C10" s="35">
        <v>1</v>
      </c>
      <c r="D10" s="107" t="s">
        <v>58</v>
      </c>
      <c r="F10" s="18" t="s">
        <v>192</v>
      </c>
      <c r="G10" s="35">
        <v>1400</v>
      </c>
      <c r="H10" s="107" t="s">
        <v>193</v>
      </c>
      <c r="L10" s="3">
        <f>L9*0.454</f>
        <v>28797.614999999998</v>
      </c>
      <c r="M10" s="107" t="s">
        <v>46</v>
      </c>
    </row>
    <row r="11" spans="2:13" s="111" customFormat="1" ht="15" customHeight="1">
      <c r="B11" s="18" t="s">
        <v>32</v>
      </c>
      <c r="C11" s="35">
        <v>7</v>
      </c>
      <c r="D11" s="107" t="s">
        <v>33</v>
      </c>
      <c r="E11" s="117"/>
      <c r="F11" s="18" t="s">
        <v>194</v>
      </c>
      <c r="G11" s="3">
        <f>G12/0.454</f>
        <v>106850.22026431719</v>
      </c>
      <c r="H11" s="107" t="s">
        <v>196</v>
      </c>
      <c r="K11" s="116"/>
      <c r="L11" s="118"/>
      <c r="M11" s="119"/>
    </row>
    <row r="12" spans="2:8" s="111" customFormat="1" ht="15.75" customHeight="1">
      <c r="B12" s="18" t="s">
        <v>124</v>
      </c>
      <c r="C12" s="3">
        <f>G11/C11</f>
        <v>15264.317180616741</v>
      </c>
      <c r="D12" s="107" t="s">
        <v>59</v>
      </c>
      <c r="E12" s="117"/>
      <c r="G12" s="3">
        <f>G10*G9/1000</f>
        <v>48510.00000000001</v>
      </c>
      <c r="H12" s="107" t="s">
        <v>195</v>
      </c>
    </row>
    <row r="13" spans="1:13" s="111" customFormat="1" ht="15" customHeight="1">
      <c r="A13" s="120"/>
      <c r="C13" s="3">
        <f>G12/C11</f>
        <v>6930.000000000001</v>
      </c>
      <c r="D13" s="107" t="s">
        <v>60</v>
      </c>
      <c r="E13" s="117"/>
      <c r="I13" s="120"/>
      <c r="J13" s="120"/>
      <c r="K13" s="235" t="s">
        <v>63</v>
      </c>
      <c r="L13" s="235"/>
      <c r="M13" s="235"/>
    </row>
    <row r="14" spans="1:13" s="111" customFormat="1" ht="12.75" customHeight="1">
      <c r="A14" s="121"/>
      <c r="C14" s="122"/>
      <c r="D14" s="123"/>
      <c r="E14" s="117"/>
      <c r="I14" s="121"/>
      <c r="J14" s="121"/>
      <c r="K14" s="235"/>
      <c r="L14" s="235"/>
      <c r="M14" s="235"/>
    </row>
    <row r="15" spans="1:13" s="111" customFormat="1" ht="13.5" customHeight="1" hidden="1">
      <c r="A15" s="124"/>
      <c r="B15" s="157" t="s">
        <v>66</v>
      </c>
      <c r="C15" s="157"/>
      <c r="D15" s="157"/>
      <c r="E15" s="157"/>
      <c r="F15" s="157"/>
      <c r="G15" s="158"/>
      <c r="H15" s="158"/>
      <c r="I15" s="124"/>
      <c r="J15" s="124"/>
      <c r="K15" s="235"/>
      <c r="L15" s="235"/>
      <c r="M15" s="235"/>
    </row>
    <row r="16" spans="1:13" s="111" customFormat="1" ht="15.75" customHeight="1">
      <c r="A16" s="155"/>
      <c r="B16" s="237" t="s">
        <v>41</v>
      </c>
      <c r="C16" s="237" t="s">
        <v>36</v>
      </c>
      <c r="D16" s="237"/>
      <c r="E16" s="219" t="s">
        <v>37</v>
      </c>
      <c r="F16" s="219"/>
      <c r="G16" s="161" t="s">
        <v>38</v>
      </c>
      <c r="H16" s="161" t="s">
        <v>39</v>
      </c>
      <c r="I16" s="156"/>
      <c r="J16" s="125"/>
      <c r="K16" s="102"/>
      <c r="L16" s="126"/>
      <c r="M16" s="123"/>
    </row>
    <row r="17" spans="1:13" s="111" customFormat="1" ht="15.75" customHeight="1">
      <c r="A17" s="155"/>
      <c r="B17" s="237"/>
      <c r="C17" s="237"/>
      <c r="D17" s="237"/>
      <c r="E17" s="160" t="s">
        <v>47</v>
      </c>
      <c r="F17" s="160" t="s">
        <v>43</v>
      </c>
      <c r="G17" s="160" t="s">
        <v>40</v>
      </c>
      <c r="H17" s="160" t="s">
        <v>40</v>
      </c>
      <c r="I17" s="156"/>
      <c r="J17" s="125"/>
      <c r="K17" s="127" t="s">
        <v>52</v>
      </c>
      <c r="L17" s="128">
        <f>L18/0.3048^3</f>
        <v>16508.528389738527</v>
      </c>
      <c r="M17" s="128" t="s">
        <v>53</v>
      </c>
    </row>
    <row r="18" spans="1:13" s="111" customFormat="1" ht="15.75" customHeight="1">
      <c r="A18" s="125"/>
      <c r="B18" s="159" t="s">
        <v>41</v>
      </c>
      <c r="C18" s="244" t="s">
        <v>36</v>
      </c>
      <c r="D18" s="244"/>
      <c r="E18" s="159" t="s">
        <v>37</v>
      </c>
      <c r="F18" s="159"/>
      <c r="G18" s="159" t="s">
        <v>186</v>
      </c>
      <c r="H18" s="159" t="s">
        <v>187</v>
      </c>
      <c r="I18" s="125"/>
      <c r="J18" s="125"/>
      <c r="K18" s="115"/>
      <c r="L18" s="3">
        <f>L10/1440/0.23/(D63/100)/1.24</f>
        <v>467.46946587190274</v>
      </c>
      <c r="M18" s="18" t="s">
        <v>156</v>
      </c>
    </row>
    <row r="19" spans="1:13" s="111" customFormat="1" ht="15.75" customHeight="1">
      <c r="A19" s="125"/>
      <c r="B19" s="130">
        <v>1</v>
      </c>
      <c r="C19" s="222" t="s">
        <v>133</v>
      </c>
      <c r="D19" s="223"/>
      <c r="E19" s="131">
        <v>0.4714592762518858</v>
      </c>
      <c r="F19" s="203">
        <f>E19*0.3048^2</f>
        <v>0.0438</v>
      </c>
      <c r="G19" s="132">
        <v>0.5</v>
      </c>
      <c r="H19" s="132">
        <v>3</v>
      </c>
      <c r="I19" s="125"/>
      <c r="J19" s="125"/>
      <c r="K19" s="127" t="s">
        <v>62</v>
      </c>
      <c r="L19" s="128">
        <f>ROUNDUP(L17/C49,0)</f>
        <v>33018</v>
      </c>
      <c r="M19" s="123"/>
    </row>
    <row r="20" spans="1:13" s="111" customFormat="1" ht="15.75" customHeight="1">
      <c r="A20" s="125"/>
      <c r="B20" s="121">
        <v>2</v>
      </c>
      <c r="C20" s="198" t="s">
        <v>134</v>
      </c>
      <c r="D20" s="198"/>
      <c r="E20" s="133">
        <v>0.17114617562568457</v>
      </c>
      <c r="F20" s="204">
        <f aca="true" t="shared" si="0" ref="F20:F38">E20*0.3048^2</f>
        <v>0.0159</v>
      </c>
      <c r="G20" s="125">
        <v>0.5</v>
      </c>
      <c r="H20" s="125">
        <v>1.7</v>
      </c>
      <c r="I20" s="125"/>
      <c r="J20" s="125"/>
      <c r="K20" s="18" t="s">
        <v>49</v>
      </c>
      <c r="L20" s="103">
        <f>L17/(C47*L19*E43)</f>
        <v>0.11774446901398361</v>
      </c>
      <c r="M20" s="107" t="s">
        <v>54</v>
      </c>
    </row>
    <row r="21" spans="1:13" s="111" customFormat="1" ht="15.75" customHeight="1">
      <c r="A21" s="125"/>
      <c r="B21" s="130">
        <v>3</v>
      </c>
      <c r="C21" s="222" t="s">
        <v>135</v>
      </c>
      <c r="D21" s="223"/>
      <c r="E21" s="131">
        <v>0.2658685872927301</v>
      </c>
      <c r="F21" s="203">
        <f t="shared" si="0"/>
        <v>0.0247</v>
      </c>
      <c r="G21" s="132">
        <v>0.5</v>
      </c>
      <c r="H21" s="132">
        <v>2.5</v>
      </c>
      <c r="I21" s="125"/>
      <c r="J21" s="125"/>
      <c r="K21" s="102"/>
      <c r="L21" s="103">
        <f>L18/(C48*L19*F43)/60</f>
        <v>0.0005981419025910368</v>
      </c>
      <c r="M21" s="107" t="s">
        <v>162</v>
      </c>
    </row>
    <row r="22" spans="1:13" s="111" customFormat="1" ht="15.75" customHeight="1">
      <c r="A22" s="125"/>
      <c r="B22" s="121">
        <v>4</v>
      </c>
      <c r="C22" s="198" t="s">
        <v>136</v>
      </c>
      <c r="D22" s="198"/>
      <c r="E22" s="133">
        <v>0.40149385854327263</v>
      </c>
      <c r="F22" s="204">
        <f t="shared" si="0"/>
        <v>0.0373</v>
      </c>
      <c r="G22" s="125">
        <v>0.6</v>
      </c>
      <c r="H22" s="125">
        <v>6</v>
      </c>
      <c r="I22" s="125"/>
      <c r="J22" s="125"/>
      <c r="K22" s="127" t="s">
        <v>159</v>
      </c>
      <c r="L22" s="134">
        <f>5.717*LOG(C11/L21,10)-6.815</f>
        <v>16.44343572440862</v>
      </c>
      <c r="M22" s="127" t="s">
        <v>34</v>
      </c>
    </row>
    <row r="23" spans="1:13" s="111" customFormat="1" ht="15.75" customHeight="1">
      <c r="A23" s="125"/>
      <c r="B23" s="130">
        <v>5</v>
      </c>
      <c r="C23" s="199" t="s">
        <v>137</v>
      </c>
      <c r="D23" s="199"/>
      <c r="E23" s="131">
        <v>0.2830908439594657</v>
      </c>
      <c r="F23" s="203">
        <f t="shared" si="0"/>
        <v>0.026300000000000004</v>
      </c>
      <c r="G23" s="132">
        <v>0.5</v>
      </c>
      <c r="H23" s="132">
        <v>2.5</v>
      </c>
      <c r="I23" s="125"/>
      <c r="J23" s="125"/>
      <c r="K23" s="127" t="s">
        <v>160</v>
      </c>
      <c r="L23" s="128">
        <f>L17*0.256*L22</f>
        <v>69492.97292319754</v>
      </c>
      <c r="M23" s="135" t="s">
        <v>64</v>
      </c>
    </row>
    <row r="24" spans="1:13" s="111" customFormat="1" ht="15.75" customHeight="1">
      <c r="A24" s="125"/>
      <c r="B24" s="121">
        <v>6</v>
      </c>
      <c r="C24" s="200" t="s">
        <v>138</v>
      </c>
      <c r="D24" s="200"/>
      <c r="E24" s="133">
        <v>0.9999672777123331</v>
      </c>
      <c r="F24" s="204">
        <f t="shared" si="0"/>
        <v>0.0929</v>
      </c>
      <c r="G24" s="125">
        <v>3</v>
      </c>
      <c r="H24" s="125">
        <v>12</v>
      </c>
      <c r="I24" s="125"/>
      <c r="J24" s="125"/>
      <c r="K24" s="102"/>
      <c r="L24" s="3">
        <f>L23*0.454</f>
        <v>31549.80970713168</v>
      </c>
      <c r="M24" s="107" t="s">
        <v>46</v>
      </c>
    </row>
    <row r="25" spans="1:13" s="111" customFormat="1" ht="15.75" customHeight="1">
      <c r="A25" s="125"/>
      <c r="B25" s="130">
        <v>7</v>
      </c>
      <c r="C25" s="232" t="s">
        <v>139</v>
      </c>
      <c r="D25" s="233"/>
      <c r="E25" s="131">
        <v>0.9213907316703521</v>
      </c>
      <c r="F25" s="203">
        <f t="shared" si="0"/>
        <v>0.0856</v>
      </c>
      <c r="G25" s="132">
        <v>1.5</v>
      </c>
      <c r="H25" s="132">
        <v>12</v>
      </c>
      <c r="I25" s="125"/>
      <c r="J25" s="125"/>
      <c r="K25" s="136" t="s">
        <v>61</v>
      </c>
      <c r="L25" s="3">
        <f>L23-L9</f>
        <v>6062.102879144681</v>
      </c>
      <c r="M25" s="107" t="s">
        <v>45</v>
      </c>
    </row>
    <row r="26" spans="1:13" s="111" customFormat="1" ht="15.75" customHeight="1">
      <c r="A26" s="125"/>
      <c r="B26" s="121">
        <v>8</v>
      </c>
      <c r="C26" s="200" t="s">
        <v>180</v>
      </c>
      <c r="D26" s="200"/>
      <c r="E26" s="133">
        <v>0.6845847025027383</v>
      </c>
      <c r="F26" s="204">
        <f t="shared" si="0"/>
        <v>0.0636</v>
      </c>
      <c r="G26" s="125">
        <v>2</v>
      </c>
      <c r="H26" s="125">
        <v>6</v>
      </c>
      <c r="I26" s="125"/>
      <c r="J26" s="125"/>
      <c r="K26" s="102"/>
      <c r="L26" s="3">
        <f>L25*0.454</f>
        <v>2752.194707131685</v>
      </c>
      <c r="M26" s="107" t="s">
        <v>46</v>
      </c>
    </row>
    <row r="27" spans="1:12" s="111" customFormat="1" ht="15.75" customHeight="1">
      <c r="A27" s="125"/>
      <c r="B27" s="130">
        <v>9</v>
      </c>
      <c r="C27" s="232" t="s">
        <v>140</v>
      </c>
      <c r="D27" s="233"/>
      <c r="E27" s="131">
        <v>1.3002803783385344</v>
      </c>
      <c r="F27" s="203">
        <f t="shared" si="0"/>
        <v>0.1208</v>
      </c>
      <c r="G27" s="132">
        <v>0.5</v>
      </c>
      <c r="H27" s="132">
        <v>8</v>
      </c>
      <c r="I27" s="125"/>
      <c r="J27" s="125"/>
      <c r="L27" s="175" t="str">
        <f>IF(L26&lt;0,"DESIGN aSOTE PROBABLY OVERESTIMATED","DESIGN aSOTE PROBABLY UNDERESTIMATED")</f>
        <v>DESIGN aSOTE PROBABLY UNDERESTIMATED</v>
      </c>
    </row>
    <row r="28" spans="1:13" s="111" customFormat="1" ht="15.75" customHeight="1">
      <c r="A28" s="125"/>
      <c r="B28" s="121">
        <v>10</v>
      </c>
      <c r="C28" s="230" t="s">
        <v>181</v>
      </c>
      <c r="D28" s="231"/>
      <c r="E28" s="133">
        <v>1.57</v>
      </c>
      <c r="F28" s="204">
        <f t="shared" si="0"/>
        <v>0.1458577728</v>
      </c>
      <c r="G28" s="125">
        <v>1</v>
      </c>
      <c r="H28" s="125">
        <v>5</v>
      </c>
      <c r="I28" s="125"/>
      <c r="J28" s="125"/>
      <c r="K28" s="227" t="s">
        <v>143</v>
      </c>
      <c r="L28" s="227"/>
      <c r="M28" s="227"/>
    </row>
    <row r="29" spans="1:13" s="111" customFormat="1" ht="15.75" customHeight="1">
      <c r="A29" s="125"/>
      <c r="B29" s="130">
        <v>11</v>
      </c>
      <c r="C29" s="232" t="s">
        <v>175</v>
      </c>
      <c r="D29" s="233"/>
      <c r="E29" s="131">
        <v>3.92</v>
      </c>
      <c r="F29" s="203">
        <f t="shared" si="0"/>
        <v>0.3641799168</v>
      </c>
      <c r="G29" s="132">
        <v>3</v>
      </c>
      <c r="H29" s="132">
        <v>12</v>
      </c>
      <c r="I29" s="125"/>
      <c r="J29" s="125"/>
      <c r="K29" s="227"/>
      <c r="L29" s="227"/>
      <c r="M29" s="227"/>
    </row>
    <row r="30" spans="1:13" s="111" customFormat="1" ht="15.75" customHeight="1">
      <c r="A30" s="125"/>
      <c r="B30" s="121">
        <v>12</v>
      </c>
      <c r="C30" s="230" t="s">
        <v>141</v>
      </c>
      <c r="D30" s="231"/>
      <c r="E30" s="133">
        <v>1.1506620235462692</v>
      </c>
      <c r="F30" s="204">
        <f t="shared" si="0"/>
        <v>0.1069</v>
      </c>
      <c r="G30" s="125">
        <v>1</v>
      </c>
      <c r="H30" s="125">
        <v>5</v>
      </c>
      <c r="I30" s="125"/>
      <c r="J30" s="125"/>
      <c r="K30" s="102"/>
      <c r="L30" s="102"/>
      <c r="M30" s="102"/>
    </row>
    <row r="31" spans="1:13" s="111" customFormat="1" ht="15.75" customHeight="1">
      <c r="A31" s="125"/>
      <c r="B31" s="130">
        <v>13</v>
      </c>
      <c r="C31" s="232" t="s">
        <v>178</v>
      </c>
      <c r="D31" s="233"/>
      <c r="E31" s="131">
        <v>2.09</v>
      </c>
      <c r="F31" s="203">
        <f t="shared" si="0"/>
        <v>0.1941673536</v>
      </c>
      <c r="G31" s="132">
        <v>1.5</v>
      </c>
      <c r="H31" s="132">
        <v>6</v>
      </c>
      <c r="I31" s="125"/>
      <c r="J31" s="125"/>
      <c r="K31" s="18" t="s">
        <v>154</v>
      </c>
      <c r="L31" s="3">
        <f>L17/C49*G43</f>
        <v>16508.528389738527</v>
      </c>
      <c r="M31" s="18" t="s">
        <v>53</v>
      </c>
    </row>
    <row r="32" spans="1:13" s="111" customFormat="1" ht="15.75" customHeight="1">
      <c r="A32" s="125"/>
      <c r="B32" s="121">
        <v>14</v>
      </c>
      <c r="C32" s="200" t="s">
        <v>142</v>
      </c>
      <c r="D32" s="200"/>
      <c r="E32" s="133">
        <v>0.8686475706284744</v>
      </c>
      <c r="F32" s="204">
        <f t="shared" si="0"/>
        <v>0.0807</v>
      </c>
      <c r="G32" s="125">
        <v>1</v>
      </c>
      <c r="H32" s="125">
        <v>5</v>
      </c>
      <c r="I32" s="125"/>
      <c r="J32" s="125"/>
      <c r="K32" s="18" t="s">
        <v>155</v>
      </c>
      <c r="L32" s="3">
        <f>L17/C49*H43</f>
        <v>82542.64194869263</v>
      </c>
      <c r="M32" s="18" t="s">
        <v>53</v>
      </c>
    </row>
    <row r="33" spans="1:13" s="111" customFormat="1" ht="15.75" customHeight="1">
      <c r="A33" s="125"/>
      <c r="B33" s="130">
        <v>15</v>
      </c>
      <c r="C33" s="232" t="s">
        <v>179</v>
      </c>
      <c r="D33" s="233"/>
      <c r="E33" s="131">
        <v>1.9</v>
      </c>
      <c r="F33" s="203">
        <f t="shared" si="0"/>
        <v>0.176515776</v>
      </c>
      <c r="G33" s="132">
        <v>1.9</v>
      </c>
      <c r="H33" s="132">
        <v>5.7</v>
      </c>
      <c r="I33" s="125"/>
      <c r="J33" s="125"/>
      <c r="K33" s="102"/>
      <c r="L33" s="102"/>
      <c r="M33" s="102"/>
    </row>
    <row r="34" spans="1:13" s="111" customFormat="1" ht="15.75" customHeight="1">
      <c r="A34" s="137"/>
      <c r="B34" s="121">
        <v>16</v>
      </c>
      <c r="C34" s="200" t="s">
        <v>176</v>
      </c>
      <c r="D34" s="200"/>
      <c r="E34" s="208">
        <v>44</v>
      </c>
      <c r="F34" s="133">
        <f t="shared" si="0"/>
        <v>4.08773376</v>
      </c>
      <c r="G34" s="125">
        <v>18</v>
      </c>
      <c r="H34" s="125">
        <v>30</v>
      </c>
      <c r="I34" s="137"/>
      <c r="J34" s="137"/>
      <c r="K34" s="18" t="s">
        <v>67</v>
      </c>
      <c r="L34" s="3">
        <f>ROUNDUP(L17/H43,0)</f>
        <v>6604</v>
      </c>
      <c r="M34" s="101" t="s">
        <v>71</v>
      </c>
    </row>
    <row r="35" spans="1:13" s="111" customFormat="1" ht="15.75" customHeight="1">
      <c r="A35" s="137"/>
      <c r="B35" s="130">
        <v>17</v>
      </c>
      <c r="C35" s="232" t="s">
        <v>177</v>
      </c>
      <c r="D35" s="233"/>
      <c r="E35" s="209">
        <v>24</v>
      </c>
      <c r="F35" s="131">
        <f t="shared" si="0"/>
        <v>2.2296729600000003</v>
      </c>
      <c r="G35" s="132">
        <v>20</v>
      </c>
      <c r="H35" s="132">
        <v>35</v>
      </c>
      <c r="I35" s="137"/>
      <c r="J35" s="137"/>
      <c r="K35" s="18" t="s">
        <v>68</v>
      </c>
      <c r="L35" s="3">
        <f>ROUNDUP(L17/G43,0)</f>
        <v>33018</v>
      </c>
      <c r="M35" s="101" t="s">
        <v>72</v>
      </c>
    </row>
    <row r="36" spans="2:13" s="111" customFormat="1" ht="15" customHeight="1">
      <c r="B36" s="121">
        <v>18</v>
      </c>
      <c r="C36" s="224" t="s">
        <v>146</v>
      </c>
      <c r="D36" s="225"/>
      <c r="E36" s="133">
        <v>0</v>
      </c>
      <c r="F36" s="204">
        <f t="shared" si="0"/>
        <v>0</v>
      </c>
      <c r="G36" s="125">
        <v>0</v>
      </c>
      <c r="H36" s="125">
        <v>0</v>
      </c>
      <c r="K36" s="102"/>
      <c r="L36" s="102"/>
      <c r="M36" s="102"/>
    </row>
    <row r="37" spans="1:13" ht="15.75">
      <c r="A37" s="138"/>
      <c r="B37" s="197">
        <v>19</v>
      </c>
      <c r="C37" s="251" t="s">
        <v>146</v>
      </c>
      <c r="D37" s="252"/>
      <c r="E37" s="207">
        <v>0</v>
      </c>
      <c r="F37" s="205">
        <f t="shared" si="0"/>
        <v>0</v>
      </c>
      <c r="G37" s="201">
        <v>0</v>
      </c>
      <c r="H37" s="201">
        <v>0</v>
      </c>
      <c r="I37" s="138"/>
      <c r="J37" s="138"/>
      <c r="K37" s="18" t="s">
        <v>55</v>
      </c>
      <c r="L37" s="103">
        <f>L17/(C47*L35*E43)</f>
        <v>0.11774446901398361</v>
      </c>
      <c r="M37" s="18" t="s">
        <v>54</v>
      </c>
    </row>
    <row r="38" spans="1:13" ht="15.75">
      <c r="A38" s="139"/>
      <c r="B38" s="121">
        <v>20</v>
      </c>
      <c r="C38" s="224" t="s">
        <v>146</v>
      </c>
      <c r="D38" s="225"/>
      <c r="E38" s="133">
        <v>0</v>
      </c>
      <c r="F38" s="206">
        <f t="shared" si="0"/>
        <v>0</v>
      </c>
      <c r="G38" s="202">
        <v>0</v>
      </c>
      <c r="H38" s="202">
        <v>0</v>
      </c>
      <c r="I38" s="139"/>
      <c r="J38" s="139"/>
      <c r="K38" s="18" t="s">
        <v>55</v>
      </c>
      <c r="L38" s="103">
        <f>L18/(C48*L35*F43)/60</f>
        <v>0.0005981419025910368</v>
      </c>
      <c r="M38" s="18" t="s">
        <v>51</v>
      </c>
    </row>
    <row r="39" spans="1:13" ht="17.25" customHeight="1" hidden="1">
      <c r="A39" s="140"/>
      <c r="B39" s="141" t="s">
        <v>125</v>
      </c>
      <c r="C39" s="111"/>
      <c r="D39" s="111"/>
      <c r="E39" s="111"/>
      <c r="F39" s="111"/>
      <c r="G39" s="111"/>
      <c r="H39" s="111"/>
      <c r="I39" s="140"/>
      <c r="J39" s="140"/>
      <c r="K39" s="18" t="s">
        <v>56</v>
      </c>
      <c r="L39" s="103">
        <f>L17/(C47*L34*E43)</f>
        <v>0.5886866865390235</v>
      </c>
      <c r="M39" s="18" t="s">
        <v>54</v>
      </c>
    </row>
    <row r="40" spans="1:13" ht="15.75">
      <c r="A40" s="139"/>
      <c r="B40" s="229" t="s">
        <v>41</v>
      </c>
      <c r="C40" s="229" t="s">
        <v>36</v>
      </c>
      <c r="D40" s="229"/>
      <c r="E40" s="228" t="s">
        <v>37</v>
      </c>
      <c r="F40" s="228"/>
      <c r="G40" s="142" t="s">
        <v>38</v>
      </c>
      <c r="H40" s="210" t="s">
        <v>39</v>
      </c>
      <c r="I40" s="139"/>
      <c r="J40" s="139"/>
      <c r="K40" s="18" t="s">
        <v>56</v>
      </c>
      <c r="L40" s="103">
        <f>L18/(C48*L34*F43)/60</f>
        <v>0.0029905283676182393</v>
      </c>
      <c r="M40" s="18" t="s">
        <v>51</v>
      </c>
    </row>
    <row r="41" spans="1:10" ht="14.25">
      <c r="A41" s="139"/>
      <c r="B41" s="229"/>
      <c r="C41" s="229"/>
      <c r="D41" s="229"/>
      <c r="E41" s="143" t="s">
        <v>48</v>
      </c>
      <c r="F41" s="143" t="s">
        <v>42</v>
      </c>
      <c r="G41" s="143" t="s">
        <v>40</v>
      </c>
      <c r="H41" s="143" t="s">
        <v>40</v>
      </c>
      <c r="I41" s="139"/>
      <c r="J41" s="139"/>
    </row>
    <row r="42" spans="2:8" ht="0.75" customHeight="1">
      <c r="B42" s="140" t="s">
        <v>41</v>
      </c>
      <c r="C42" s="140" t="s">
        <v>36</v>
      </c>
      <c r="D42" s="140"/>
      <c r="E42" s="140"/>
      <c r="F42" s="140" t="s">
        <v>37</v>
      </c>
      <c r="G42" s="140" t="s">
        <v>38</v>
      </c>
      <c r="H42" s="140" t="s">
        <v>39</v>
      </c>
    </row>
    <row r="43" spans="2:13" ht="13.5">
      <c r="B43" s="144">
        <v>5</v>
      </c>
      <c r="C43" s="145" t="str">
        <f>DGET(B18:H38,"Diffuser",$B42:$B43)</f>
        <v>9” EPDM Membrane Disc</v>
      </c>
      <c r="D43" s="145"/>
      <c r="E43" s="146">
        <f>DGET(B18:H38,"Area",$B42:$B43)</f>
        <v>0.2830908439594657</v>
      </c>
      <c r="F43" s="146">
        <f>E43*0.3048</f>
        <v>0.08628608923884515</v>
      </c>
      <c r="G43" s="215">
        <f>DGET(B18:H38,"min",$B42:$B43)</f>
        <v>0.5</v>
      </c>
      <c r="H43" s="215">
        <f>DGET(B18:H38,"max",$B42:$B43)</f>
        <v>2.5</v>
      </c>
      <c r="K43" s="18" t="s">
        <v>163</v>
      </c>
      <c r="L43" s="104">
        <f>5.717*LOG(C11/L40,10)-6.815</f>
        <v>12.447574599489297</v>
      </c>
      <c r="M43" s="18" t="s">
        <v>34</v>
      </c>
    </row>
    <row r="44" spans="2:13" ht="13.5">
      <c r="B44" s="147"/>
      <c r="C44" s="148"/>
      <c r="D44" s="148"/>
      <c r="E44" s="149"/>
      <c r="F44" s="139"/>
      <c r="G44" s="139"/>
      <c r="H44" s="139"/>
      <c r="K44" s="18" t="s">
        <v>164</v>
      </c>
      <c r="L44" s="104">
        <f>5.717*LOG(C11/L38,10)-6.815</f>
        <v>16.44343572440862</v>
      </c>
      <c r="M44" s="18" t="s">
        <v>34</v>
      </c>
    </row>
    <row r="45" spans="2:13" ht="15">
      <c r="B45" s="112" t="s">
        <v>147</v>
      </c>
      <c r="C45" s="112"/>
      <c r="D45" s="112"/>
      <c r="E45" s="113"/>
      <c r="K45" s="106"/>
      <c r="L45" s="105"/>
      <c r="M45" s="106"/>
    </row>
    <row r="46" spans="2:13" ht="15.75">
      <c r="B46" s="18" t="s">
        <v>161</v>
      </c>
      <c r="C46" s="35">
        <v>15</v>
      </c>
      <c r="D46" s="18" t="s">
        <v>34</v>
      </c>
      <c r="E46" s="115"/>
      <c r="K46" s="18" t="s">
        <v>69</v>
      </c>
      <c r="L46" s="3">
        <f>L17*0.256*L43</f>
        <v>52605.73149671865</v>
      </c>
      <c r="M46" s="107" t="s">
        <v>45</v>
      </c>
    </row>
    <row r="47" spans="2:13" ht="15.75">
      <c r="B47" s="18" t="s">
        <v>44</v>
      </c>
      <c r="C47" s="35">
        <v>15</v>
      </c>
      <c r="D47" s="18" t="s">
        <v>35</v>
      </c>
      <c r="E47" s="115"/>
      <c r="F47" s="111"/>
      <c r="L47" s="3">
        <f>L46*0.454</f>
        <v>23883.002099510268</v>
      </c>
      <c r="M47" s="107" t="s">
        <v>46</v>
      </c>
    </row>
    <row r="48" spans="2:13" ht="15.75">
      <c r="B48" s="115"/>
      <c r="C48" s="129">
        <f>C47*0.3048</f>
        <v>4.572</v>
      </c>
      <c r="D48" s="18" t="s">
        <v>182</v>
      </c>
      <c r="E48" s="115"/>
      <c r="K48" s="18" t="s">
        <v>70</v>
      </c>
      <c r="L48" s="3">
        <f>L17*0.256*L44</f>
        <v>69492.97292319754</v>
      </c>
      <c r="M48" s="107" t="s">
        <v>45</v>
      </c>
    </row>
    <row r="49" spans="2:13" ht="15.75">
      <c r="B49" s="18" t="s">
        <v>158</v>
      </c>
      <c r="C49" s="35">
        <v>0.5</v>
      </c>
      <c r="D49" s="18" t="s">
        <v>40</v>
      </c>
      <c r="E49" s="236">
        <f>IF(C49&lt;G43,"OUTSIDE OPERATING RANGE",IF(C49&gt;H43,"OUTSIDE OPERATING RANGE",""))</f>
      </c>
      <c r="F49" s="236"/>
      <c r="G49" s="236"/>
      <c r="H49" s="236"/>
      <c r="L49" s="3">
        <f>L48*0.454</f>
        <v>31549.80970713168</v>
      </c>
      <c r="M49" s="107" t="s">
        <v>46</v>
      </c>
    </row>
    <row r="50" spans="2:4" ht="13.5">
      <c r="B50" s="18" t="s">
        <v>167</v>
      </c>
      <c r="C50" s="35">
        <v>20</v>
      </c>
      <c r="D50" s="18" t="s">
        <v>168</v>
      </c>
    </row>
    <row r="51" spans="11:13" ht="13.5">
      <c r="K51" s="212"/>
      <c r="L51" s="213"/>
      <c r="M51" s="214"/>
    </row>
    <row r="52" spans="2:13" ht="13.5">
      <c r="B52" s="221" t="s">
        <v>148</v>
      </c>
      <c r="C52" s="221"/>
      <c r="D52" s="221"/>
      <c r="E52" s="221"/>
      <c r="F52" s="221"/>
      <c r="G52" s="221"/>
      <c r="H52" s="221"/>
      <c r="K52" s="238" t="s">
        <v>171</v>
      </c>
      <c r="L52" s="239"/>
      <c r="M52" s="240"/>
    </row>
    <row r="53" spans="2:13" ht="12" customHeight="1">
      <c r="B53" s="221"/>
      <c r="C53" s="221"/>
      <c r="D53" s="221"/>
      <c r="E53" s="221"/>
      <c r="F53" s="221"/>
      <c r="G53" s="221"/>
      <c r="H53" s="221"/>
      <c r="K53" s="241"/>
      <c r="L53" s="242"/>
      <c r="M53" s="243"/>
    </row>
    <row r="54" spans="2:4" ht="15" customHeight="1">
      <c r="B54" s="112"/>
      <c r="C54" s="150"/>
      <c r="D54" s="163"/>
    </row>
    <row r="55" spans="2:14" ht="15" customHeight="1">
      <c r="B55" s="253" t="s">
        <v>121</v>
      </c>
      <c r="C55" s="254"/>
      <c r="D55" s="59">
        <f ca="1">IF(C69="","",INDIRECT(C70))</f>
      </c>
      <c r="E55" s="108"/>
      <c r="J55" s="166"/>
      <c r="K55" s="127" t="s">
        <v>52</v>
      </c>
      <c r="L55" s="128">
        <f>L56/0.3048^3</f>
        <v>41073.52829655687</v>
      </c>
      <c r="M55" s="128" t="s">
        <v>53</v>
      </c>
      <c r="N55" s="108"/>
    </row>
    <row r="56" spans="2:14" ht="15" customHeight="1">
      <c r="B56" s="253"/>
      <c r="C56" s="254"/>
      <c r="D56" s="164"/>
      <c r="E56" s="108"/>
      <c r="J56" s="166"/>
      <c r="K56" s="115"/>
      <c r="L56" s="3">
        <f>L47/1440/0.23/(D65/100)/1.24</f>
        <v>1163.072799765772</v>
      </c>
      <c r="M56" s="18" t="s">
        <v>156</v>
      </c>
      <c r="N56" s="108"/>
    </row>
    <row r="57" spans="2:14" ht="15" customHeight="1">
      <c r="B57" s="253"/>
      <c r="C57" s="254"/>
      <c r="D57" s="164"/>
      <c r="E57" s="108"/>
      <c r="J57" s="166"/>
      <c r="K57" s="136" t="s">
        <v>173</v>
      </c>
      <c r="L57" s="3">
        <f>L55-L17</f>
        <v>24564.999906818342</v>
      </c>
      <c r="M57" s="18" t="s">
        <v>53</v>
      </c>
      <c r="N57" s="108"/>
    </row>
    <row r="58" spans="2:14" ht="15" customHeight="1">
      <c r="B58" s="253"/>
      <c r="C58" s="254"/>
      <c r="D58" s="164"/>
      <c r="E58" s="108"/>
      <c r="J58" s="166"/>
      <c r="L58" s="3">
        <f>L56-L18</f>
        <v>695.6033338938694</v>
      </c>
      <c r="M58" s="18" t="s">
        <v>156</v>
      </c>
      <c r="N58" s="108"/>
    </row>
    <row r="59" spans="2:14" ht="15" customHeight="1">
      <c r="B59" s="255"/>
      <c r="C59" s="256"/>
      <c r="D59" s="165"/>
      <c r="E59" s="162"/>
      <c r="F59" s="151"/>
      <c r="G59" s="151"/>
      <c r="H59" s="151"/>
      <c r="J59" s="166"/>
      <c r="K59" s="18" t="s">
        <v>185</v>
      </c>
      <c r="L59" s="3">
        <f>L57/L17*100</f>
        <v>148.8018757752363</v>
      </c>
      <c r="M59" s="18" t="s">
        <v>34</v>
      </c>
      <c r="N59" s="108"/>
    </row>
    <row r="60" spans="1:14" ht="12" customHeight="1">
      <c r="A60" s="166"/>
      <c r="B60" s="2" t="s">
        <v>129</v>
      </c>
      <c r="C60" s="4"/>
      <c r="D60" s="167">
        <v>2</v>
      </c>
      <c r="E60" s="97"/>
      <c r="F60" s="97"/>
      <c r="G60" s="97"/>
      <c r="H60" s="97"/>
      <c r="J60" s="166"/>
      <c r="N60" s="108"/>
    </row>
    <row r="61" spans="1:13" ht="15" customHeight="1" hidden="1">
      <c r="A61" s="166"/>
      <c r="B61" s="2" t="s">
        <v>130</v>
      </c>
      <c r="C61" s="4"/>
      <c r="D61" s="167">
        <v>0</v>
      </c>
      <c r="E61" s="97"/>
      <c r="F61" s="97"/>
      <c r="G61" s="97"/>
      <c r="H61" s="97"/>
      <c r="K61" s="245" t="s">
        <v>201</v>
      </c>
      <c r="L61" s="246"/>
      <c r="M61" s="247"/>
    </row>
    <row r="62" spans="1:13" ht="15" customHeight="1">
      <c r="A62" s="166"/>
      <c r="B62" s="2" t="s">
        <v>131</v>
      </c>
      <c r="C62" s="4"/>
      <c r="D62" s="168">
        <v>10000</v>
      </c>
      <c r="E62" s="98"/>
      <c r="F62" s="98"/>
      <c r="G62" s="98"/>
      <c r="H62" s="98"/>
      <c r="K62" s="248"/>
      <c r="L62" s="249"/>
      <c r="M62" s="250"/>
    </row>
    <row r="63" spans="1:8" ht="15" customHeight="1">
      <c r="A63" s="166"/>
      <c r="B63" s="2" t="s">
        <v>132</v>
      </c>
      <c r="C63" s="4"/>
      <c r="D63" s="211">
        <f>C46</f>
        <v>15</v>
      </c>
      <c r="E63" s="99"/>
      <c r="F63" s="99"/>
      <c r="G63" s="99"/>
      <c r="H63" s="99"/>
    </row>
    <row r="64" spans="1:13" ht="15" customHeight="1">
      <c r="A64" s="166"/>
      <c r="B64" s="2" t="s">
        <v>145</v>
      </c>
      <c r="C64" s="4"/>
      <c r="D64" s="169">
        <v>5</v>
      </c>
      <c r="E64" s="100"/>
      <c r="F64" s="100"/>
      <c r="G64" s="100"/>
      <c r="H64" s="100"/>
      <c r="K64" s="185" t="str">
        <f>B55</f>
        <v>Diffuser name</v>
      </c>
      <c r="L64" s="185"/>
      <c r="M64" s="172" t="str">
        <f>C43</f>
        <v>9” EPDM Membrane Disc</v>
      </c>
    </row>
    <row r="65" spans="1:13" ht="15" customHeight="1">
      <c r="A65" s="166"/>
      <c r="B65" s="2" t="s">
        <v>144</v>
      </c>
      <c r="C65" s="4"/>
      <c r="D65" s="169">
        <f>D63-D64*D60</f>
        <v>5</v>
      </c>
      <c r="E65" s="99"/>
      <c r="F65" s="99"/>
      <c r="G65" s="99"/>
      <c r="H65" s="99"/>
      <c r="K65" s="107" t="s">
        <v>165</v>
      </c>
      <c r="L65" s="107"/>
      <c r="M65" s="94">
        <f>D60</f>
        <v>2</v>
      </c>
    </row>
    <row r="66" spans="1:14" ht="15" customHeight="1">
      <c r="A66" s="166"/>
      <c r="B66" s="173" t="s">
        <v>127</v>
      </c>
      <c r="C66" s="174"/>
      <c r="D66" s="170">
        <v>0.04</v>
      </c>
      <c r="E66" s="99"/>
      <c r="F66" s="99"/>
      <c r="G66" s="99"/>
      <c r="H66" s="99"/>
      <c r="I66" s="163"/>
      <c r="J66" s="163"/>
      <c r="K66" s="188" t="s">
        <v>166</v>
      </c>
      <c r="L66" s="188"/>
      <c r="M66" s="189">
        <f>MAX('Economic Analysis'!H23:H51)</f>
        <v>5</v>
      </c>
      <c r="N66" s="163"/>
    </row>
    <row r="67" spans="1:15" ht="15" customHeight="1">
      <c r="A67" s="166"/>
      <c r="B67" s="173" t="s">
        <v>128</v>
      </c>
      <c r="C67" s="174"/>
      <c r="D67" s="171">
        <v>0.065</v>
      </c>
      <c r="E67" s="99"/>
      <c r="F67" s="99"/>
      <c r="G67" s="99"/>
      <c r="H67" s="186"/>
      <c r="I67" s="191"/>
      <c r="J67" s="191"/>
      <c r="K67" s="192" t="s">
        <v>74</v>
      </c>
      <c r="L67" s="192"/>
      <c r="M67" s="193">
        <f>'Economic Analysis'!D4</f>
        <v>688291.0398117255</v>
      </c>
      <c r="N67" s="191"/>
      <c r="O67" s="108"/>
    </row>
    <row r="68" spans="2:15" ht="15" customHeight="1">
      <c r="B68" s="2" t="s">
        <v>172</v>
      </c>
      <c r="C68" s="4"/>
      <c r="D68" s="169">
        <v>5</v>
      </c>
      <c r="E68" s="95"/>
      <c r="F68" s="95"/>
      <c r="G68" s="95"/>
      <c r="H68" s="187"/>
      <c r="I68" s="191"/>
      <c r="J68" s="191"/>
      <c r="K68" s="192" t="s">
        <v>84</v>
      </c>
      <c r="L68" s="192"/>
      <c r="M68" s="193">
        <f>'Economic Analysis'!D6</f>
        <v>10000</v>
      </c>
      <c r="N68" s="191"/>
      <c r="O68" s="108"/>
    </row>
    <row r="69" spans="2:15" ht="15" customHeight="1">
      <c r="B69" s="2" t="s">
        <v>199</v>
      </c>
      <c r="C69" s="4"/>
      <c r="D69" s="169">
        <f>C50+D68*D60</f>
        <v>30</v>
      </c>
      <c r="E69" s="96"/>
      <c r="F69" s="96"/>
      <c r="G69" s="96"/>
      <c r="H69" s="187"/>
      <c r="I69" s="191"/>
      <c r="J69" s="191"/>
      <c r="K69" s="192" t="s">
        <v>174</v>
      </c>
      <c r="L69" s="192"/>
      <c r="M69" s="193">
        <f>'Economic Analysis'!D5</f>
        <v>40839.35451797175</v>
      </c>
      <c r="N69" s="191"/>
      <c r="O69" s="108"/>
    </row>
    <row r="70" spans="2:15" ht="13.5">
      <c r="B70" s="2" t="s">
        <v>198</v>
      </c>
      <c r="C70" s="4"/>
      <c r="D70" s="169">
        <f>D65/C46</f>
        <v>0.3333333333333333</v>
      </c>
      <c r="E70" s="152"/>
      <c r="F70" s="152"/>
      <c r="G70" s="152"/>
      <c r="H70" s="166"/>
      <c r="I70" s="191"/>
      <c r="J70" s="191"/>
      <c r="K70" s="192" t="s">
        <v>88</v>
      </c>
      <c r="L70" s="192"/>
      <c r="M70" s="193">
        <f>M69-M68</f>
        <v>30839.354517971748</v>
      </c>
      <c r="N70" s="191"/>
      <c r="O70" s="108"/>
    </row>
    <row r="71" spans="2:15" ht="15">
      <c r="B71" s="2" t="s">
        <v>200</v>
      </c>
      <c r="C71" s="4"/>
      <c r="D71" s="169">
        <f>D69/C50</f>
        <v>1.5</v>
      </c>
      <c r="E71" s="217"/>
      <c r="F71" s="217"/>
      <c r="G71" s="217"/>
      <c r="H71" s="217"/>
      <c r="I71" s="191"/>
      <c r="J71" s="191"/>
      <c r="K71" s="194" t="s">
        <v>122</v>
      </c>
      <c r="L71" s="194"/>
      <c r="M71" s="195">
        <f>'Economic Analysis'!D8</f>
        <v>0</v>
      </c>
      <c r="N71" s="191"/>
      <c r="O71" s="108"/>
    </row>
    <row r="72" spans="8:15" ht="13.5">
      <c r="H72" s="166"/>
      <c r="I72" s="191"/>
      <c r="J72" s="191"/>
      <c r="K72" s="196"/>
      <c r="L72" s="196"/>
      <c r="M72" s="196"/>
      <c r="N72" s="191"/>
      <c r="O72" s="108"/>
    </row>
    <row r="73" spans="8:15" ht="13.5">
      <c r="H73" s="166"/>
      <c r="I73" s="191"/>
      <c r="J73" s="191"/>
      <c r="K73" s="191"/>
      <c r="L73" s="191"/>
      <c r="M73" s="191"/>
      <c r="N73" s="191"/>
      <c r="O73" s="108"/>
    </row>
    <row r="74" spans="8:15" ht="13.5">
      <c r="H74" s="166"/>
      <c r="I74" s="191"/>
      <c r="J74" s="191"/>
      <c r="K74" s="191"/>
      <c r="L74" s="191"/>
      <c r="M74" s="191"/>
      <c r="N74" s="191"/>
      <c r="O74" s="108"/>
    </row>
    <row r="75" spans="8:15" ht="13.5">
      <c r="H75" s="166"/>
      <c r="I75" s="1"/>
      <c r="J75" s="1"/>
      <c r="K75" s="1"/>
      <c r="L75" s="1"/>
      <c r="M75" s="1"/>
      <c r="N75" s="1"/>
      <c r="O75" s="108"/>
    </row>
    <row r="76" spans="8:15" ht="13.5">
      <c r="H76" s="166"/>
      <c r="I76" s="1"/>
      <c r="J76" s="1"/>
      <c r="K76" s="1"/>
      <c r="L76" s="1"/>
      <c r="M76" s="1"/>
      <c r="N76" s="1"/>
      <c r="O76" s="108"/>
    </row>
    <row r="77" spans="9:14" ht="15.75" customHeight="1">
      <c r="I77" s="190"/>
      <c r="J77" s="190"/>
      <c r="K77" s="190"/>
      <c r="L77" s="190"/>
      <c r="M77" s="190"/>
      <c r="N77" s="190"/>
    </row>
    <row r="78" ht="12.75" customHeight="1"/>
    <row r="79" ht="22.5" customHeight="1"/>
    <row r="80" spans="14:16" ht="54" customHeight="1">
      <c r="N80" s="112"/>
      <c r="O80" s="112"/>
      <c r="P80" s="112"/>
    </row>
    <row r="81" spans="4:14" ht="25.5">
      <c r="D81" s="58"/>
      <c r="E81" s="58"/>
      <c r="F81" s="58"/>
      <c r="G81" s="58"/>
      <c r="H81" s="58"/>
      <c r="N81" s="153"/>
    </row>
    <row r="82" ht="13.5">
      <c r="N82" s="154"/>
    </row>
    <row r="83" ht="13.5">
      <c r="N83" s="154"/>
    </row>
    <row r="84" ht="13.5">
      <c r="N84" s="154"/>
    </row>
    <row r="85" ht="13.5">
      <c r="N85" s="154"/>
    </row>
    <row r="86" ht="13.5">
      <c r="N86" s="154"/>
    </row>
    <row r="87" ht="13.5">
      <c r="N87" s="154"/>
    </row>
    <row r="88" ht="15.75" customHeight="1"/>
    <row r="89" ht="19.5" customHeight="1"/>
  </sheetData>
  <sheetProtection password="C7C0" sheet="1" objects="1" scenarios="1" selectLockedCells="1"/>
  <mergeCells count="31">
    <mergeCell ref="K61:M62"/>
    <mergeCell ref="C37:D37"/>
    <mergeCell ref="C35:D35"/>
    <mergeCell ref="C33:D33"/>
    <mergeCell ref="C31:D31"/>
    <mergeCell ref="C25:D25"/>
    <mergeCell ref="B55:C59"/>
    <mergeCell ref="K13:M15"/>
    <mergeCell ref="E49:H49"/>
    <mergeCell ref="B16:B17"/>
    <mergeCell ref="C16:D17"/>
    <mergeCell ref="K52:M53"/>
    <mergeCell ref="C38:D38"/>
    <mergeCell ref="C18:D18"/>
    <mergeCell ref="K1:M1"/>
    <mergeCell ref="K28:M29"/>
    <mergeCell ref="E40:F40"/>
    <mergeCell ref="B40:B41"/>
    <mergeCell ref="C40:D41"/>
    <mergeCell ref="C30:D30"/>
    <mergeCell ref="C29:D29"/>
    <mergeCell ref="C28:D28"/>
    <mergeCell ref="C27:D27"/>
    <mergeCell ref="K3:M3"/>
    <mergeCell ref="B1:H1"/>
    <mergeCell ref="E16:F16"/>
    <mergeCell ref="B3:H3"/>
    <mergeCell ref="B52:H53"/>
    <mergeCell ref="C21:D21"/>
    <mergeCell ref="C19:D19"/>
    <mergeCell ref="C36:D36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6600"/>
  </sheetPr>
  <dimension ref="A1:BF123"/>
  <sheetViews>
    <sheetView zoomScalePageLayoutView="0" workbookViewId="0" topLeftCell="A5">
      <selection activeCell="K21" sqref="K21"/>
    </sheetView>
  </sheetViews>
  <sheetFormatPr defaultColWidth="12.875" defaultRowHeight="12.75"/>
  <cols>
    <col min="1" max="1" width="4.875" style="6" bestFit="1" customWidth="1"/>
    <col min="2" max="2" width="4.875" style="6" customWidth="1"/>
    <col min="3" max="3" width="9.875" style="6" customWidth="1"/>
    <col min="4" max="4" width="11.75390625" style="6" bestFit="1" customWidth="1"/>
    <col min="5" max="5" width="12.375" style="6" bestFit="1" customWidth="1"/>
    <col min="6" max="6" width="6.125" style="6" bestFit="1" customWidth="1"/>
    <col min="7" max="7" width="9.75390625" style="6" bestFit="1" customWidth="1"/>
    <col min="8" max="8" width="10.75390625" style="6" bestFit="1" customWidth="1"/>
    <col min="9" max="9" width="11.125" style="6" bestFit="1" customWidth="1"/>
    <col min="10" max="10" width="11.375" style="69" bestFit="1" customWidth="1"/>
    <col min="11" max="12" width="11.375" style="69" customWidth="1"/>
    <col min="13" max="13" width="17.25390625" style="69" customWidth="1"/>
    <col min="14" max="14" width="11.625" style="69" bestFit="1" customWidth="1"/>
    <col min="15" max="15" width="9.625" style="69" bestFit="1" customWidth="1"/>
    <col min="16" max="16" width="12.125" style="69" bestFit="1" customWidth="1"/>
    <col min="17" max="17" width="9.125" style="69" bestFit="1" customWidth="1"/>
    <col min="18" max="19" width="11.625" style="69" bestFit="1" customWidth="1"/>
    <col min="20" max="20" width="12.00390625" style="69" bestFit="1" customWidth="1"/>
    <col min="21" max="21" width="14.25390625" style="69" bestFit="1" customWidth="1"/>
    <col min="22" max="22" width="11.75390625" style="69" bestFit="1" customWidth="1"/>
    <col min="23" max="23" width="15.375" style="61" bestFit="1" customWidth="1"/>
    <col min="24" max="16384" width="12.875" style="61" customWidth="1"/>
  </cols>
  <sheetData>
    <row r="1" spans="1:22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91"/>
      <c r="P1" s="36"/>
      <c r="Q1" s="66"/>
      <c r="R1" s="36"/>
      <c r="S1" s="36"/>
      <c r="T1" s="36"/>
      <c r="U1" s="36"/>
      <c r="V1" s="36"/>
    </row>
    <row r="2" spans="1:22" ht="12.75">
      <c r="A2" s="273" t="s">
        <v>80</v>
      </c>
      <c r="B2" s="274"/>
      <c r="C2" s="274"/>
      <c r="D2" s="275"/>
      <c r="E2" s="60"/>
      <c r="F2" s="60"/>
      <c r="G2" s="60"/>
      <c r="H2" s="60"/>
      <c r="I2" s="60"/>
      <c r="J2" s="60"/>
      <c r="K2" s="60"/>
      <c r="L2" s="60"/>
      <c r="M2" s="264" t="s">
        <v>89</v>
      </c>
      <c r="N2" s="265"/>
      <c r="O2" s="266"/>
      <c r="P2" s="36"/>
      <c r="Q2" s="66"/>
      <c r="R2" s="36"/>
      <c r="S2" s="36"/>
      <c r="T2" s="36"/>
      <c r="U2" s="36"/>
      <c r="V2" s="36"/>
    </row>
    <row r="3" spans="1:22" ht="25.5">
      <c r="A3" s="270" t="s">
        <v>75</v>
      </c>
      <c r="B3" s="271"/>
      <c r="C3" s="272"/>
      <c r="D3" s="9">
        <f>C53</f>
        <v>0</v>
      </c>
      <c r="E3" s="60"/>
      <c r="F3" s="60"/>
      <c r="G3" s="60"/>
      <c r="H3" s="60"/>
      <c r="I3" s="60"/>
      <c r="J3" s="60"/>
      <c r="K3" s="60"/>
      <c r="L3" s="60"/>
      <c r="M3" s="82" t="s">
        <v>97</v>
      </c>
      <c r="N3" s="83">
        <v>1000</v>
      </c>
      <c r="O3" s="87" t="s">
        <v>90</v>
      </c>
      <c r="P3" s="36"/>
      <c r="Q3" s="66"/>
      <c r="R3" s="36"/>
      <c r="S3" s="36"/>
      <c r="T3" s="36"/>
      <c r="U3" s="36"/>
      <c r="V3" s="36"/>
    </row>
    <row r="4" spans="1:22" ht="12.75">
      <c r="A4" s="257" t="s">
        <v>76</v>
      </c>
      <c r="B4" s="258"/>
      <c r="C4" s="259"/>
      <c r="D4" s="25">
        <f>E53+I53</f>
        <v>688291.0398117255</v>
      </c>
      <c r="E4" s="60"/>
      <c r="F4" s="60"/>
      <c r="G4" s="60"/>
      <c r="H4" s="60"/>
      <c r="I4" s="60"/>
      <c r="J4" s="60"/>
      <c r="K4" s="60"/>
      <c r="L4" s="60"/>
      <c r="M4" s="88" t="s">
        <v>95</v>
      </c>
      <c r="N4" s="89">
        <f>'Input-Output'!D63/100</f>
        <v>0.15</v>
      </c>
      <c r="O4" s="90" t="s">
        <v>34</v>
      </c>
      <c r="P4" s="36"/>
      <c r="Q4" s="66"/>
      <c r="R4" s="36"/>
      <c r="S4" s="36"/>
      <c r="T4" s="36"/>
      <c r="U4" s="36"/>
      <c r="V4" s="36"/>
    </row>
    <row r="5" spans="1:22" ht="12.75">
      <c r="A5" s="277" t="s">
        <v>87</v>
      </c>
      <c r="B5" s="277"/>
      <c r="C5" s="278"/>
      <c r="D5" s="9">
        <f>I53</f>
        <v>40839.35451797175</v>
      </c>
      <c r="E5" s="60"/>
      <c r="F5" s="60"/>
      <c r="G5" s="60"/>
      <c r="H5" s="60"/>
      <c r="I5" s="60"/>
      <c r="J5" s="60"/>
      <c r="K5" s="60"/>
      <c r="L5" s="60"/>
      <c r="M5" s="85" t="s">
        <v>96</v>
      </c>
      <c r="N5" s="86">
        <f>'Input-Output'!D65/100</f>
        <v>0.05</v>
      </c>
      <c r="O5" s="84" t="s">
        <v>34</v>
      </c>
      <c r="P5" s="36"/>
      <c r="Q5" s="66"/>
      <c r="R5" s="36"/>
      <c r="S5" s="36"/>
      <c r="T5" s="36"/>
      <c r="U5" s="36"/>
      <c r="V5" s="36"/>
    </row>
    <row r="6" spans="1:22" ht="25.5">
      <c r="A6" s="257" t="s">
        <v>85</v>
      </c>
      <c r="B6" s="258"/>
      <c r="C6" s="259"/>
      <c r="D6" s="25">
        <f>'Input-Output'!D62</f>
        <v>10000</v>
      </c>
      <c r="E6" s="60"/>
      <c r="F6" s="60"/>
      <c r="G6" s="60"/>
      <c r="H6" s="60"/>
      <c r="I6" s="60"/>
      <c r="J6" s="60"/>
      <c r="K6" s="60"/>
      <c r="L6" s="60"/>
      <c r="M6" s="80" t="s">
        <v>91</v>
      </c>
      <c r="N6" s="81">
        <f>'Input-Output'!C50</f>
        <v>20</v>
      </c>
      <c r="O6" s="90" t="s">
        <v>168</v>
      </c>
      <c r="P6" s="36"/>
      <c r="Q6" s="66"/>
      <c r="R6" s="36"/>
      <c r="S6" s="36"/>
      <c r="T6" s="36"/>
      <c r="U6" s="36"/>
      <c r="V6" s="36"/>
    </row>
    <row r="7" spans="1:22" ht="12.75">
      <c r="A7" s="279" t="s">
        <v>77</v>
      </c>
      <c r="B7" s="280"/>
      <c r="C7" s="281"/>
      <c r="D7" s="9">
        <f>'Input-Output'!D61</f>
        <v>0</v>
      </c>
      <c r="E7" s="60"/>
      <c r="F7" s="60"/>
      <c r="G7" s="60"/>
      <c r="H7" s="60"/>
      <c r="I7" s="60"/>
      <c r="J7" s="60"/>
      <c r="K7" s="60"/>
      <c r="L7" s="60"/>
      <c r="M7" s="82" t="s">
        <v>92</v>
      </c>
      <c r="N7" s="83">
        <f>'Input-Output'!D60</f>
        <v>2</v>
      </c>
      <c r="O7" s="84" t="s">
        <v>93</v>
      </c>
      <c r="P7" s="36"/>
      <c r="Q7" s="66"/>
      <c r="R7" s="36"/>
      <c r="S7" s="36"/>
      <c r="T7" s="36"/>
      <c r="U7" s="36"/>
      <c r="V7" s="36"/>
    </row>
    <row r="8" spans="1:22" ht="12.75">
      <c r="A8" s="260" t="s">
        <v>4</v>
      </c>
      <c r="B8" s="261"/>
      <c r="C8" s="262"/>
      <c r="D8" s="24">
        <f>O53</f>
        <v>0</v>
      </c>
      <c r="E8" s="60"/>
      <c r="F8" s="60"/>
      <c r="G8" s="60"/>
      <c r="H8" s="60"/>
      <c r="I8" s="60"/>
      <c r="J8" s="60"/>
      <c r="K8" s="60"/>
      <c r="L8" s="60"/>
      <c r="M8" s="176"/>
      <c r="N8" s="177"/>
      <c r="O8" s="178"/>
      <c r="P8" s="36"/>
      <c r="Q8" s="66"/>
      <c r="R8" s="36"/>
      <c r="S8" s="36"/>
      <c r="T8" s="36"/>
      <c r="U8" s="36"/>
      <c r="V8" s="36"/>
    </row>
    <row r="9" spans="1:22" ht="12.75">
      <c r="A9" s="284" t="s">
        <v>79</v>
      </c>
      <c r="B9" s="285"/>
      <c r="C9" s="285"/>
      <c r="D9" s="286"/>
      <c r="E9" s="60"/>
      <c r="F9" s="60"/>
      <c r="G9" s="60"/>
      <c r="H9" s="60"/>
      <c r="I9" s="60"/>
      <c r="J9" s="60"/>
      <c r="K9" s="60"/>
      <c r="L9" s="60"/>
      <c r="M9" s="179" t="s">
        <v>169</v>
      </c>
      <c r="N9" s="180">
        <f>'Input-Output'!D64/100</f>
        <v>0.05</v>
      </c>
      <c r="O9" s="181" t="s">
        <v>34</v>
      </c>
      <c r="P9" s="36"/>
      <c r="Q9" s="66"/>
      <c r="R9" s="36"/>
      <c r="S9" s="36"/>
      <c r="T9" s="36"/>
      <c r="U9" s="36"/>
      <c r="V9" s="36"/>
    </row>
    <row r="10" spans="1:22" ht="12.75">
      <c r="A10" s="270" t="s">
        <v>85</v>
      </c>
      <c r="B10" s="271"/>
      <c r="C10" s="272"/>
      <c r="D10" s="9">
        <f>D6</f>
        <v>10000</v>
      </c>
      <c r="E10" s="60"/>
      <c r="F10" s="60"/>
      <c r="G10" s="60"/>
      <c r="H10" s="60"/>
      <c r="I10" s="60"/>
      <c r="J10" s="60"/>
      <c r="K10" s="60"/>
      <c r="L10" s="60"/>
      <c r="M10" s="182" t="s">
        <v>170</v>
      </c>
      <c r="N10" s="183">
        <f>(EXP((LN(1+N9))/12)-1)</f>
        <v>0.0040741237836483535</v>
      </c>
      <c r="O10" s="184" t="s">
        <v>34</v>
      </c>
      <c r="P10" s="36"/>
      <c r="Q10" s="66"/>
      <c r="R10" s="36"/>
      <c r="S10" s="36"/>
      <c r="T10" s="36"/>
      <c r="U10" s="36"/>
      <c r="V10" s="36"/>
    </row>
    <row r="11" spans="1:22" ht="12.75">
      <c r="A11" s="257" t="s">
        <v>73</v>
      </c>
      <c r="B11" s="258"/>
      <c r="C11" s="259"/>
      <c r="D11" s="23">
        <f>'Input-Output'!D66</f>
        <v>0.04</v>
      </c>
      <c r="E11" s="60"/>
      <c r="F11" s="60"/>
      <c r="G11" s="60"/>
      <c r="H11" s="60"/>
      <c r="I11" s="60"/>
      <c r="J11" s="60"/>
      <c r="K11" s="60"/>
      <c r="L11" s="60"/>
      <c r="M11" s="179" t="s">
        <v>169</v>
      </c>
      <c r="N11" s="180">
        <f>'Input-Output'!D68/100</f>
        <v>0.05</v>
      </c>
      <c r="O11" s="181" t="s">
        <v>34</v>
      </c>
      <c r="P11" s="36"/>
      <c r="Q11" s="66"/>
      <c r="R11" s="36"/>
      <c r="S11" s="36"/>
      <c r="T11" s="36"/>
      <c r="U11" s="36"/>
      <c r="V11" s="36"/>
    </row>
    <row r="12" spans="1:22" ht="12.75">
      <c r="A12" s="279" t="s">
        <v>76</v>
      </c>
      <c r="B12" s="280"/>
      <c r="C12" s="281"/>
      <c r="D12" s="5">
        <f>'Input-Output'!D67</f>
        <v>0.065</v>
      </c>
      <c r="E12" s="60"/>
      <c r="F12" s="60"/>
      <c r="G12" s="60"/>
      <c r="H12" s="60"/>
      <c r="I12" s="60"/>
      <c r="J12" s="60"/>
      <c r="K12" s="60"/>
      <c r="L12" s="60"/>
      <c r="M12" s="182" t="s">
        <v>170</v>
      </c>
      <c r="N12" s="183">
        <f>(EXP((LN(1+N11))/12)-1)</f>
        <v>0.0040741237836483535</v>
      </c>
      <c r="O12" s="184" t="s">
        <v>34</v>
      </c>
      <c r="P12" s="36"/>
      <c r="Q12" s="66"/>
      <c r="R12" s="36"/>
      <c r="S12" s="36"/>
      <c r="T12" s="36"/>
      <c r="U12" s="36"/>
      <c r="V12" s="36"/>
    </row>
    <row r="13" spans="1:22" ht="12.75">
      <c r="A13" s="257" t="s">
        <v>1</v>
      </c>
      <c r="B13" s="258"/>
      <c r="C13" s="259"/>
      <c r="D13" s="22">
        <v>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91"/>
      <c r="P13" s="36"/>
      <c r="Q13" s="66"/>
      <c r="R13" s="36"/>
      <c r="S13" s="36"/>
      <c r="T13" s="36"/>
      <c r="U13" s="36"/>
      <c r="V13" s="36"/>
    </row>
    <row r="14" spans="1:22" ht="12.75">
      <c r="A14" s="279" t="s">
        <v>2</v>
      </c>
      <c r="B14" s="280"/>
      <c r="C14" s="281"/>
      <c r="D14" s="5">
        <v>0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91"/>
      <c r="P14" s="36"/>
      <c r="Q14" s="66"/>
      <c r="R14" s="36"/>
      <c r="S14" s="36"/>
      <c r="T14" s="36"/>
      <c r="U14" s="36"/>
      <c r="V14" s="36"/>
    </row>
    <row r="15" spans="1:22" ht="12.75">
      <c r="A15" s="260" t="s">
        <v>3</v>
      </c>
      <c r="B15" s="261"/>
      <c r="C15" s="262"/>
      <c r="D15" s="29">
        <v>0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91"/>
      <c r="P15" s="36"/>
      <c r="Q15" s="66"/>
      <c r="R15" s="36"/>
      <c r="S15" s="36"/>
      <c r="T15" s="36"/>
      <c r="U15" s="36"/>
      <c r="V15" s="36"/>
    </row>
    <row r="16" spans="1:22" ht="13.5" thickBo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92"/>
      <c r="N16" s="92"/>
      <c r="O16" s="93"/>
      <c r="P16" s="36"/>
      <c r="Q16" s="66"/>
      <c r="R16" s="36"/>
      <c r="S16" s="36"/>
      <c r="T16" s="36"/>
      <c r="U16" s="36"/>
      <c r="V16" s="36"/>
    </row>
    <row r="17" spans="1:22" ht="12.75">
      <c r="A17" s="267" t="s">
        <v>78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9"/>
      <c r="P17" s="36"/>
      <c r="Q17" s="66"/>
      <c r="R17" s="36"/>
      <c r="S17" s="36"/>
      <c r="T17" s="36"/>
      <c r="U17" s="36"/>
      <c r="V17" s="36"/>
    </row>
    <row r="18" spans="1:22" ht="12.75">
      <c r="A18" s="3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38"/>
      <c r="P18" s="36"/>
      <c r="Q18" s="66"/>
      <c r="R18" s="36"/>
      <c r="S18" s="36"/>
      <c r="T18" s="36"/>
      <c r="U18" s="36"/>
      <c r="V18" s="36"/>
    </row>
    <row r="19" spans="1:58" ht="12.75">
      <c r="A19" s="28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83"/>
      <c r="P19" s="36"/>
      <c r="Q19" s="66"/>
      <c r="R19" s="36"/>
      <c r="S19" s="36"/>
      <c r="T19" s="36"/>
      <c r="U19" s="36"/>
      <c r="V19" s="36"/>
      <c r="X19" s="62"/>
      <c r="Y19" s="62"/>
      <c r="Z19" s="62"/>
      <c r="AA19" s="63"/>
      <c r="AB19" s="62"/>
      <c r="AC19" s="62"/>
      <c r="AD19" s="62"/>
      <c r="AE19" s="62"/>
      <c r="AF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</row>
    <row r="20" spans="1:22" s="64" customFormat="1" ht="38.25">
      <c r="A20" s="39" t="s">
        <v>103</v>
      </c>
      <c r="B20" s="27"/>
      <c r="C20" s="27" t="s">
        <v>5</v>
      </c>
      <c r="D20" s="30" t="s">
        <v>98</v>
      </c>
      <c r="E20" s="27" t="s">
        <v>0</v>
      </c>
      <c r="F20" s="27" t="s">
        <v>100</v>
      </c>
      <c r="G20" s="27" t="s">
        <v>120</v>
      </c>
      <c r="H20" s="27" t="s">
        <v>119</v>
      </c>
      <c r="I20" s="28" t="s">
        <v>81</v>
      </c>
      <c r="J20" s="27" t="s">
        <v>23</v>
      </c>
      <c r="K20" s="30" t="s">
        <v>183</v>
      </c>
      <c r="L20" s="27" t="s">
        <v>101</v>
      </c>
      <c r="M20" s="27" t="s">
        <v>102</v>
      </c>
      <c r="N20" s="27" t="s">
        <v>99</v>
      </c>
      <c r="O20" s="40" t="s">
        <v>86</v>
      </c>
      <c r="P20" s="36"/>
      <c r="Q20" s="66"/>
      <c r="R20" s="36"/>
      <c r="S20" s="36"/>
      <c r="T20" s="36"/>
      <c r="U20" s="36"/>
      <c r="V20" s="36"/>
    </row>
    <row r="21" spans="1:32" ht="12.75">
      <c r="A21" s="37"/>
      <c r="B21" s="8"/>
      <c r="C21" s="16"/>
      <c r="D21" s="8"/>
      <c r="E21" s="41"/>
      <c r="F21" s="41"/>
      <c r="G21" s="41"/>
      <c r="H21" s="41"/>
      <c r="I21" s="8"/>
      <c r="J21" s="8"/>
      <c r="K21" s="8"/>
      <c r="L21" s="8"/>
      <c r="M21" s="8"/>
      <c r="N21" s="41"/>
      <c r="O21" s="42"/>
      <c r="P21" s="36"/>
      <c r="Q21" s="66"/>
      <c r="R21" s="36"/>
      <c r="S21" s="36"/>
      <c r="T21" s="36"/>
      <c r="U21" s="36"/>
      <c r="V21" s="36"/>
      <c r="AD21" s="65"/>
      <c r="AE21" s="65"/>
      <c r="AF21" s="65"/>
    </row>
    <row r="22" spans="1:32" ht="12.75">
      <c r="A22" s="37"/>
      <c r="B22" s="8"/>
      <c r="C22" s="41"/>
      <c r="D22" s="8"/>
      <c r="E22" s="41"/>
      <c r="F22" s="41"/>
      <c r="G22" s="41"/>
      <c r="H22" s="43"/>
      <c r="I22" s="16"/>
      <c r="J22" s="41"/>
      <c r="K22" s="8"/>
      <c r="L22" s="41"/>
      <c r="M22" s="41"/>
      <c r="N22" s="41"/>
      <c r="O22" s="42"/>
      <c r="P22" s="36"/>
      <c r="Q22" s="66"/>
      <c r="R22" s="36"/>
      <c r="S22" s="36"/>
      <c r="T22" s="36"/>
      <c r="U22" s="36"/>
      <c r="V22" s="36"/>
      <c r="AD22" s="65"/>
      <c r="AE22" s="65"/>
      <c r="AF22" s="65"/>
    </row>
    <row r="23" spans="1:32" ht="12.75">
      <c r="A23" s="37">
        <v>0</v>
      </c>
      <c r="B23" s="8" t="s">
        <v>104</v>
      </c>
      <c r="C23" s="41">
        <v>0</v>
      </c>
      <c r="D23" s="41">
        <f>$E$23</f>
        <v>35717.2941193999</v>
      </c>
      <c r="E23" s="41">
        <f aca="true" t="shared" si="0" ref="E23:E51">CHOOSE(H23,$P$60,$P$61,$P$62,$P$63,$P$64,$P$65,$P$66,$P$67,$P$68,$P$69,$P$70,$P$71,$P$72,$P$73,$P$74,$P$75,$P$76,$P$77,$P$78,$P$79,$P$80,$P$81,$P$82,$P$83,$P$84,$P$85,$P$86,$P$87,$P$88)</f>
        <v>35717.2941193999</v>
      </c>
      <c r="F23" s="44">
        <f aca="true" t="shared" si="1" ref="F23:F30">E23/D23</f>
        <v>1</v>
      </c>
      <c r="G23" s="45">
        <f>IF(E23&gt;E22,SUM($E$22:E23),SUM($E$22:E23)-SUM($O$23:O23))</f>
        <v>35717.2941193999</v>
      </c>
      <c r="H23" s="46">
        <f aca="true" t="shared" si="2" ref="H23:H51">IF(O23=0,H22+1,1)</f>
        <v>1</v>
      </c>
      <c r="I23" s="41">
        <f>E23-D23</f>
        <v>0</v>
      </c>
      <c r="J23" s="41">
        <f>SUM($I$23:I23)</f>
        <v>0</v>
      </c>
      <c r="K23" s="41">
        <f aca="true" t="shared" si="3" ref="K23:K51">IF((J22/$D$10)&lt;1,J22,MOD(J22,$D$10))</f>
        <v>0</v>
      </c>
      <c r="L23" s="44">
        <f aca="true" t="shared" si="4" ref="L23:L51">K23/N23</f>
        <v>0</v>
      </c>
      <c r="M23" s="47">
        <f aca="true" t="shared" si="5" ref="M23:M51">N23/(12*D23)</f>
        <v>0.02333136800754196</v>
      </c>
      <c r="N23" s="41">
        <f>$D$10</f>
        <v>10000</v>
      </c>
      <c r="O23" s="42">
        <f aca="true" t="shared" si="6" ref="O23:O51">IF(K22+I22*(1+$N$10)&gt;$D$10,$D$10,0)</f>
        <v>0</v>
      </c>
      <c r="P23" s="36"/>
      <c r="Q23" s="66"/>
      <c r="R23" s="36"/>
      <c r="S23" s="36"/>
      <c r="T23" s="36"/>
      <c r="U23" s="36"/>
      <c r="V23" s="36"/>
      <c r="AD23" s="65"/>
      <c r="AE23" s="65"/>
      <c r="AF23" s="65"/>
    </row>
    <row r="24" spans="1:32" ht="12.75">
      <c r="A24" s="37">
        <v>1</v>
      </c>
      <c r="B24" s="8" t="s">
        <v>105</v>
      </c>
      <c r="C24" s="41">
        <v>0</v>
      </c>
      <c r="D24" s="41">
        <f aca="true" t="shared" si="7" ref="D24:D51">$E$23</f>
        <v>35717.2941193999</v>
      </c>
      <c r="E24" s="41">
        <f t="shared" si="0"/>
        <v>37150.97699228959</v>
      </c>
      <c r="F24" s="44">
        <f t="shared" si="1"/>
        <v>1.040139739256199</v>
      </c>
      <c r="G24" s="45">
        <f>IF(E24&gt;E23,SUM($E$22:E24),SUM($E$22:E24)-SUM($O$23:O24))</f>
        <v>72868.27111168948</v>
      </c>
      <c r="H24" s="46">
        <f t="shared" si="2"/>
        <v>2</v>
      </c>
      <c r="I24" s="41">
        <f aca="true" t="shared" si="8" ref="I24:I51">E24-D24</f>
        <v>1433.6828728896871</v>
      </c>
      <c r="J24" s="41">
        <f>SUM($I$23:I24)</f>
        <v>1433.6828728896871</v>
      </c>
      <c r="K24" s="41">
        <f t="shared" si="3"/>
        <v>0</v>
      </c>
      <c r="L24" s="44">
        <f t="shared" si="4"/>
        <v>0</v>
      </c>
      <c r="M24" s="47">
        <f t="shared" si="5"/>
        <v>0.02333136800754196</v>
      </c>
      <c r="N24" s="41">
        <f aca="true" t="shared" si="9" ref="N24:N51">$D$10</f>
        <v>10000</v>
      </c>
      <c r="O24" s="42">
        <f t="shared" si="6"/>
        <v>0</v>
      </c>
      <c r="P24" s="36"/>
      <c r="Q24" s="66"/>
      <c r="R24" s="36"/>
      <c r="S24" s="36"/>
      <c r="T24" s="36"/>
      <c r="U24" s="36"/>
      <c r="V24" s="36"/>
      <c r="AD24" s="65"/>
      <c r="AE24" s="65"/>
      <c r="AF24" s="65"/>
    </row>
    <row r="25" spans="1:32" ht="12.75">
      <c r="A25" s="37">
        <v>2</v>
      </c>
      <c r="B25" s="8" t="s">
        <v>106</v>
      </c>
      <c r="C25" s="41">
        <v>0</v>
      </c>
      <c r="D25" s="41">
        <f t="shared" si="7"/>
        <v>35717.2941193999</v>
      </c>
      <c r="E25" s="41">
        <f t="shared" si="0"/>
        <v>38668.74524346049</v>
      </c>
      <c r="F25" s="44">
        <f t="shared" si="1"/>
        <v>1.0826336707980773</v>
      </c>
      <c r="G25" s="45">
        <f>IF(E25&gt;E24,SUM($E$22:E25),SUM($E$22:E25)-SUM($O$23:O25))</f>
        <v>111537.01635514997</v>
      </c>
      <c r="H25" s="46">
        <f t="shared" si="2"/>
        <v>3</v>
      </c>
      <c r="I25" s="41">
        <f t="shared" si="8"/>
        <v>2951.4511240605934</v>
      </c>
      <c r="J25" s="41">
        <f>SUM($I$23:I25)</f>
        <v>4385.133996950281</v>
      </c>
      <c r="K25" s="41">
        <f t="shared" si="3"/>
        <v>1433.6828728896871</v>
      </c>
      <c r="L25" s="44">
        <f t="shared" si="4"/>
        <v>0.14336828728896872</v>
      </c>
      <c r="M25" s="47">
        <f t="shared" si="5"/>
        <v>0.02333136800754196</v>
      </c>
      <c r="N25" s="41">
        <f t="shared" si="9"/>
        <v>10000</v>
      </c>
      <c r="O25" s="42">
        <f t="shared" si="6"/>
        <v>0</v>
      </c>
      <c r="P25" s="36"/>
      <c r="Q25" s="66"/>
      <c r="R25" s="36"/>
      <c r="S25" s="36"/>
      <c r="T25" s="36"/>
      <c r="U25" s="36"/>
      <c r="V25" s="36"/>
      <c r="AD25" s="65"/>
      <c r="AE25" s="65"/>
      <c r="AF25" s="65"/>
    </row>
    <row r="26" spans="1:32" ht="12.75">
      <c r="A26" s="37">
        <v>3</v>
      </c>
      <c r="B26" s="8" t="s">
        <v>107</v>
      </c>
      <c r="C26" s="41">
        <v>0</v>
      </c>
      <c r="D26" s="41">
        <f t="shared" si="7"/>
        <v>35717.2941193999</v>
      </c>
      <c r="E26" s="41">
        <f t="shared" si="0"/>
        <v>40278.249982824425</v>
      </c>
      <c r="F26" s="44">
        <f t="shared" si="1"/>
        <v>1.1276960076588567</v>
      </c>
      <c r="G26" s="45">
        <f>IF(E26&gt;E25,SUM($E$22:E26),SUM($E$22:E26)-SUM($O$23:O26))</f>
        <v>151815.2663379744</v>
      </c>
      <c r="H26" s="46">
        <f t="shared" si="2"/>
        <v>4</v>
      </c>
      <c r="I26" s="41">
        <f t="shared" si="8"/>
        <v>4560.955863424526</v>
      </c>
      <c r="J26" s="41">
        <f>SUM($I$23:I26)</f>
        <v>8946.089860374806</v>
      </c>
      <c r="K26" s="41">
        <f t="shared" si="3"/>
        <v>4385.133996950281</v>
      </c>
      <c r="L26" s="44">
        <f t="shared" si="4"/>
        <v>0.43851339969502806</v>
      </c>
      <c r="M26" s="47">
        <f t="shared" si="5"/>
        <v>0.02333136800754196</v>
      </c>
      <c r="N26" s="41">
        <f t="shared" si="9"/>
        <v>10000</v>
      </c>
      <c r="O26" s="42">
        <f t="shared" si="6"/>
        <v>0</v>
      </c>
      <c r="P26" s="36"/>
      <c r="Q26" s="66"/>
      <c r="R26" s="36"/>
      <c r="S26" s="36"/>
      <c r="T26" s="36"/>
      <c r="U26" s="36"/>
      <c r="V26" s="36"/>
      <c r="AD26" s="65"/>
      <c r="AE26" s="65"/>
      <c r="AF26" s="65"/>
    </row>
    <row r="27" spans="1:32" ht="12.75">
      <c r="A27" s="37">
        <v>4</v>
      </c>
      <c r="B27" s="8" t="s">
        <v>108</v>
      </c>
      <c r="C27" s="41">
        <v>0</v>
      </c>
      <c r="D27" s="41">
        <f t="shared" si="7"/>
        <v>35717.2941193999</v>
      </c>
      <c r="E27" s="41">
        <f t="shared" si="0"/>
        <v>41988.098645620914</v>
      </c>
      <c r="F27" s="44">
        <f t="shared" si="1"/>
        <v>1.1755677377255467</v>
      </c>
      <c r="G27" s="45">
        <f>IF(E27&gt;E26,SUM($E$22:E27),SUM($E$22:E27)-SUM($O$23:O27))</f>
        <v>193803.36498359533</v>
      </c>
      <c r="H27" s="46">
        <f t="shared" si="2"/>
        <v>5</v>
      </c>
      <c r="I27" s="41">
        <f t="shared" si="8"/>
        <v>6270.804526221014</v>
      </c>
      <c r="J27" s="41">
        <f>SUM($I$23:I27)</f>
        <v>15216.89438659582</v>
      </c>
      <c r="K27" s="41">
        <f t="shared" si="3"/>
        <v>8946.089860374806</v>
      </c>
      <c r="L27" s="44">
        <f t="shared" si="4"/>
        <v>0.8946089860374806</v>
      </c>
      <c r="M27" s="47">
        <f t="shared" si="5"/>
        <v>0.02333136800754196</v>
      </c>
      <c r="N27" s="41">
        <f t="shared" si="9"/>
        <v>10000</v>
      </c>
      <c r="O27" s="42">
        <f t="shared" si="6"/>
        <v>0</v>
      </c>
      <c r="P27" s="36"/>
      <c r="Q27" s="66"/>
      <c r="R27" s="36"/>
      <c r="S27" s="36"/>
      <c r="T27" s="36"/>
      <c r="U27" s="36"/>
      <c r="V27" s="36"/>
      <c r="AD27" s="65"/>
      <c r="AE27" s="65"/>
      <c r="AF27" s="65"/>
    </row>
    <row r="28" spans="1:32" ht="12.75">
      <c r="A28" s="37">
        <v>5</v>
      </c>
      <c r="B28" s="8" t="s">
        <v>109</v>
      </c>
      <c r="C28" s="41">
        <v>0</v>
      </c>
      <c r="D28" s="41">
        <f t="shared" si="7"/>
        <v>35717.2941193999</v>
      </c>
      <c r="E28" s="41">
        <f t="shared" si="0"/>
        <v>35717.2941193999</v>
      </c>
      <c r="F28" s="44">
        <f t="shared" si="1"/>
        <v>1</v>
      </c>
      <c r="G28" s="45">
        <f>IF(E28&gt;E27,SUM($E$22:E28),SUM($E$22:E28)-SUM($O$23:O28))</f>
        <v>219520.65910299524</v>
      </c>
      <c r="H28" s="46">
        <f t="shared" si="2"/>
        <v>1</v>
      </c>
      <c r="I28" s="41">
        <f t="shared" si="8"/>
        <v>0</v>
      </c>
      <c r="J28" s="41">
        <f>SUM($I$23:I28)</f>
        <v>15216.89438659582</v>
      </c>
      <c r="K28" s="41">
        <f t="shared" si="3"/>
        <v>5216.894386595821</v>
      </c>
      <c r="L28" s="44">
        <f t="shared" si="4"/>
        <v>0.5216894386595821</v>
      </c>
      <c r="M28" s="47">
        <f t="shared" si="5"/>
        <v>0.02333136800754196</v>
      </c>
      <c r="N28" s="41">
        <f t="shared" si="9"/>
        <v>10000</v>
      </c>
      <c r="O28" s="42">
        <f t="shared" si="6"/>
        <v>10000</v>
      </c>
      <c r="P28" s="36"/>
      <c r="Q28" s="66"/>
      <c r="R28" s="36"/>
      <c r="S28" s="36"/>
      <c r="T28" s="36"/>
      <c r="U28" s="36"/>
      <c r="V28" s="36"/>
      <c r="AD28" s="65"/>
      <c r="AE28" s="65"/>
      <c r="AF28" s="65"/>
    </row>
    <row r="29" spans="1:32" ht="12.75">
      <c r="A29" s="37">
        <v>6</v>
      </c>
      <c r="B29" s="8" t="s">
        <v>110</v>
      </c>
      <c r="C29" s="41">
        <v>0</v>
      </c>
      <c r="D29" s="41">
        <f t="shared" si="7"/>
        <v>35717.2941193999</v>
      </c>
      <c r="E29" s="41">
        <f t="shared" si="0"/>
        <v>37150.97699228959</v>
      </c>
      <c r="F29" s="44">
        <f t="shared" si="1"/>
        <v>1.040139739256199</v>
      </c>
      <c r="G29" s="45">
        <f>IF(E29&gt;E28,SUM($E$22:E29),SUM($E$22:E29)-SUM($O$23:O29))</f>
        <v>266671.63609528483</v>
      </c>
      <c r="H29" s="46">
        <f t="shared" si="2"/>
        <v>2</v>
      </c>
      <c r="I29" s="41">
        <f t="shared" si="8"/>
        <v>1433.6828728896871</v>
      </c>
      <c r="J29" s="41">
        <f>SUM($I$23:I29)</f>
        <v>16650.577259485508</v>
      </c>
      <c r="K29" s="41">
        <f t="shared" si="3"/>
        <v>5216.894386595821</v>
      </c>
      <c r="L29" s="44">
        <f t="shared" si="4"/>
        <v>0.5216894386595821</v>
      </c>
      <c r="M29" s="47">
        <f t="shared" si="5"/>
        <v>0.02333136800754196</v>
      </c>
      <c r="N29" s="41">
        <f t="shared" si="9"/>
        <v>10000</v>
      </c>
      <c r="O29" s="42">
        <f t="shared" si="6"/>
        <v>0</v>
      </c>
      <c r="P29" s="36"/>
      <c r="Q29" s="66"/>
      <c r="R29" s="36"/>
      <c r="S29" s="36"/>
      <c r="T29" s="36"/>
      <c r="U29" s="36"/>
      <c r="V29" s="36"/>
      <c r="AD29" s="65"/>
      <c r="AE29" s="65"/>
      <c r="AF29" s="65"/>
    </row>
    <row r="30" spans="1:32" ht="12.75">
      <c r="A30" s="37">
        <v>7</v>
      </c>
      <c r="B30" s="8" t="s">
        <v>111</v>
      </c>
      <c r="C30" s="41">
        <v>0</v>
      </c>
      <c r="D30" s="41">
        <f t="shared" si="7"/>
        <v>35717.2941193999</v>
      </c>
      <c r="E30" s="41">
        <f t="shared" si="0"/>
        <v>38668.74524346049</v>
      </c>
      <c r="F30" s="44">
        <f t="shared" si="1"/>
        <v>1.0826336707980773</v>
      </c>
      <c r="G30" s="45">
        <f>IF(E30&gt;E29,SUM($E$22:E30),SUM($E$22:E30)-SUM($O$23:O30))</f>
        <v>305340.38133874536</v>
      </c>
      <c r="H30" s="46">
        <f t="shared" si="2"/>
        <v>3</v>
      </c>
      <c r="I30" s="41">
        <f t="shared" si="8"/>
        <v>2951.4511240605934</v>
      </c>
      <c r="J30" s="41">
        <f>SUM($I$23:I30)</f>
        <v>19602.0283835461</v>
      </c>
      <c r="K30" s="41">
        <f t="shared" si="3"/>
        <v>6650.577259485508</v>
      </c>
      <c r="L30" s="44">
        <f t="shared" si="4"/>
        <v>0.6650577259485508</v>
      </c>
      <c r="M30" s="47">
        <f t="shared" si="5"/>
        <v>0.02333136800754196</v>
      </c>
      <c r="N30" s="41">
        <f t="shared" si="9"/>
        <v>10000</v>
      </c>
      <c r="O30" s="42">
        <f t="shared" si="6"/>
        <v>0</v>
      </c>
      <c r="P30" s="36"/>
      <c r="Q30" s="66"/>
      <c r="R30" s="36"/>
      <c r="S30" s="36"/>
      <c r="T30" s="36"/>
      <c r="U30" s="36"/>
      <c r="V30" s="36"/>
      <c r="AD30" s="65"/>
      <c r="AE30" s="65"/>
      <c r="AF30" s="65"/>
    </row>
    <row r="31" spans="1:32" ht="12.75">
      <c r="A31" s="37">
        <v>8</v>
      </c>
      <c r="B31" s="8" t="s">
        <v>112</v>
      </c>
      <c r="C31" s="41">
        <v>0</v>
      </c>
      <c r="D31" s="41">
        <f t="shared" si="7"/>
        <v>35717.2941193999</v>
      </c>
      <c r="E31" s="41">
        <f t="shared" si="0"/>
        <v>40278.249982824425</v>
      </c>
      <c r="F31" s="44">
        <f aca="true" t="shared" si="10" ref="F31:F50">E31/D31</f>
        <v>1.1276960076588567</v>
      </c>
      <c r="G31" s="45">
        <f>IF(E31&gt;E30,SUM($E$22:E31),SUM($E$22:E31)-SUM($O$23:O31))</f>
        <v>345618.6313215698</v>
      </c>
      <c r="H31" s="46">
        <f t="shared" si="2"/>
        <v>4</v>
      </c>
      <c r="I31" s="41">
        <f t="shared" si="8"/>
        <v>4560.955863424526</v>
      </c>
      <c r="J31" s="41">
        <f>SUM($I$23:I31)</f>
        <v>24162.984246970627</v>
      </c>
      <c r="K31" s="41">
        <f t="shared" si="3"/>
        <v>9602.028383546101</v>
      </c>
      <c r="L31" s="44">
        <f t="shared" si="4"/>
        <v>0.9602028383546102</v>
      </c>
      <c r="M31" s="47">
        <f t="shared" si="5"/>
        <v>0.02333136800754196</v>
      </c>
      <c r="N31" s="41">
        <f t="shared" si="9"/>
        <v>10000</v>
      </c>
      <c r="O31" s="42">
        <f t="shared" si="6"/>
        <v>0</v>
      </c>
      <c r="P31" s="36"/>
      <c r="Q31" s="66"/>
      <c r="R31" s="36"/>
      <c r="S31" s="36"/>
      <c r="T31" s="36"/>
      <c r="U31" s="36"/>
      <c r="V31" s="36"/>
      <c r="AD31" s="65"/>
      <c r="AE31" s="65"/>
      <c r="AF31" s="65"/>
    </row>
    <row r="32" spans="1:32" ht="12.75">
      <c r="A32" s="37">
        <v>9</v>
      </c>
      <c r="B32" s="8" t="s">
        <v>113</v>
      </c>
      <c r="C32" s="41">
        <v>0</v>
      </c>
      <c r="D32" s="41">
        <f t="shared" si="7"/>
        <v>35717.2941193999</v>
      </c>
      <c r="E32" s="41">
        <f t="shared" si="0"/>
        <v>35717.2941193999</v>
      </c>
      <c r="F32" s="44">
        <f t="shared" si="10"/>
        <v>1</v>
      </c>
      <c r="G32" s="45">
        <f>IF(E32&gt;E31,SUM($E$22:E32),SUM($E$22:E32)-SUM($O$23:O32))</f>
        <v>361335.9254409697</v>
      </c>
      <c r="H32" s="46">
        <f t="shared" si="2"/>
        <v>1</v>
      </c>
      <c r="I32" s="41">
        <f t="shared" si="8"/>
        <v>0</v>
      </c>
      <c r="J32" s="41">
        <f>SUM($I$23:I32)</f>
        <v>24162.984246970627</v>
      </c>
      <c r="K32" s="41">
        <f t="shared" si="3"/>
        <v>4162.984246970627</v>
      </c>
      <c r="L32" s="44">
        <f t="shared" si="4"/>
        <v>0.41629842469706274</v>
      </c>
      <c r="M32" s="47">
        <f t="shared" si="5"/>
        <v>0.02333136800754196</v>
      </c>
      <c r="N32" s="41">
        <f t="shared" si="9"/>
        <v>10000</v>
      </c>
      <c r="O32" s="42">
        <f t="shared" si="6"/>
        <v>10000</v>
      </c>
      <c r="P32" s="36"/>
      <c r="Q32" s="66"/>
      <c r="R32" s="36"/>
      <c r="S32" s="36"/>
      <c r="T32" s="36"/>
      <c r="U32" s="36"/>
      <c r="V32" s="36"/>
      <c r="AD32" s="65"/>
      <c r="AE32" s="65"/>
      <c r="AF32" s="65"/>
    </row>
    <row r="33" spans="1:32" ht="12.75">
      <c r="A33" s="37">
        <v>10</v>
      </c>
      <c r="B33" s="8" t="s">
        <v>114</v>
      </c>
      <c r="C33" s="41">
        <v>0</v>
      </c>
      <c r="D33" s="41">
        <f t="shared" si="7"/>
        <v>35717.2941193999</v>
      </c>
      <c r="E33" s="41">
        <f t="shared" si="0"/>
        <v>37150.97699228959</v>
      </c>
      <c r="F33" s="44">
        <f t="shared" si="10"/>
        <v>1.040139739256199</v>
      </c>
      <c r="G33" s="45">
        <f>IF(E33&gt;E32,SUM($E$22:E33),SUM($E$22:E33)-SUM($O$23:O33))</f>
        <v>418486.9024332593</v>
      </c>
      <c r="H33" s="46">
        <f t="shared" si="2"/>
        <v>2</v>
      </c>
      <c r="I33" s="41">
        <f t="shared" si="8"/>
        <v>1433.6828728896871</v>
      </c>
      <c r="J33" s="41">
        <f>SUM($I$23:I33)</f>
        <v>25596.667119860314</v>
      </c>
      <c r="K33" s="41">
        <f t="shared" si="3"/>
        <v>4162.984246970627</v>
      </c>
      <c r="L33" s="44">
        <f t="shared" si="4"/>
        <v>0.41629842469706274</v>
      </c>
      <c r="M33" s="47">
        <f t="shared" si="5"/>
        <v>0.02333136800754196</v>
      </c>
      <c r="N33" s="41">
        <f t="shared" si="9"/>
        <v>10000</v>
      </c>
      <c r="O33" s="42">
        <f t="shared" si="6"/>
        <v>0</v>
      </c>
      <c r="P33" s="36"/>
      <c r="Q33" s="66"/>
      <c r="R33" s="36"/>
      <c r="S33" s="36"/>
      <c r="T33" s="36"/>
      <c r="U33" s="36"/>
      <c r="V33" s="36"/>
      <c r="AD33" s="65"/>
      <c r="AE33" s="65"/>
      <c r="AF33" s="65"/>
    </row>
    <row r="34" spans="1:32" ht="12.75">
      <c r="A34" s="37">
        <v>11</v>
      </c>
      <c r="B34" s="8" t="s">
        <v>115</v>
      </c>
      <c r="C34" s="41">
        <v>0</v>
      </c>
      <c r="D34" s="41">
        <f t="shared" si="7"/>
        <v>35717.2941193999</v>
      </c>
      <c r="E34" s="41">
        <f t="shared" si="0"/>
        <v>38668.74524346049</v>
      </c>
      <c r="F34" s="44">
        <f t="shared" si="10"/>
        <v>1.0826336707980773</v>
      </c>
      <c r="G34" s="45">
        <f>IF(E34&gt;E33,SUM($E$22:E34),SUM($E$22:E34)-SUM($O$23:O34))</f>
        <v>457155.6476767198</v>
      </c>
      <c r="H34" s="46">
        <f t="shared" si="2"/>
        <v>3</v>
      </c>
      <c r="I34" s="41">
        <f t="shared" si="8"/>
        <v>2951.4511240605934</v>
      </c>
      <c r="J34" s="41">
        <f>SUM($I$23:I34)</f>
        <v>28548.118243920908</v>
      </c>
      <c r="K34" s="41">
        <f t="shared" si="3"/>
        <v>5596.667119860314</v>
      </c>
      <c r="L34" s="44">
        <f t="shared" si="4"/>
        <v>0.5596667119860315</v>
      </c>
      <c r="M34" s="47">
        <f t="shared" si="5"/>
        <v>0.02333136800754196</v>
      </c>
      <c r="N34" s="41">
        <f t="shared" si="9"/>
        <v>10000</v>
      </c>
      <c r="O34" s="42">
        <f t="shared" si="6"/>
        <v>0</v>
      </c>
      <c r="P34" s="36"/>
      <c r="Q34" s="66"/>
      <c r="R34" s="36"/>
      <c r="S34" s="36"/>
      <c r="T34" s="36"/>
      <c r="U34" s="36"/>
      <c r="V34" s="36"/>
      <c r="AD34" s="65"/>
      <c r="AE34" s="65"/>
      <c r="AF34" s="65"/>
    </row>
    <row r="35" spans="1:32" ht="12.75">
      <c r="A35" s="37">
        <v>12</v>
      </c>
      <c r="B35" s="8" t="s">
        <v>104</v>
      </c>
      <c r="C35" s="41">
        <v>0</v>
      </c>
      <c r="D35" s="41">
        <f t="shared" si="7"/>
        <v>35717.2941193999</v>
      </c>
      <c r="E35" s="41">
        <f t="shared" si="0"/>
        <v>40278.249982824425</v>
      </c>
      <c r="F35" s="44">
        <f t="shared" si="10"/>
        <v>1.1276960076588567</v>
      </c>
      <c r="G35" s="45">
        <f>IF(E35&gt;E34,SUM($E$22:E35),SUM($E$22:E35)-SUM($O$23:O35))</f>
        <v>497433.89765954425</v>
      </c>
      <c r="H35" s="46">
        <f t="shared" si="2"/>
        <v>4</v>
      </c>
      <c r="I35" s="41">
        <f t="shared" si="8"/>
        <v>4560.955863424526</v>
      </c>
      <c r="J35" s="41">
        <f>SUM($I$23:I35)</f>
        <v>33109.074107345434</v>
      </c>
      <c r="K35" s="41">
        <f t="shared" si="3"/>
        <v>8548.118243920908</v>
      </c>
      <c r="L35" s="44">
        <f t="shared" si="4"/>
        <v>0.8548118243920908</v>
      </c>
      <c r="M35" s="47">
        <f t="shared" si="5"/>
        <v>0.02333136800754196</v>
      </c>
      <c r="N35" s="41">
        <f t="shared" si="9"/>
        <v>10000</v>
      </c>
      <c r="O35" s="42">
        <f t="shared" si="6"/>
        <v>0</v>
      </c>
      <c r="P35" s="36"/>
      <c r="Q35" s="66"/>
      <c r="R35" s="36"/>
      <c r="S35" s="36"/>
      <c r="T35" s="36"/>
      <c r="U35" s="36"/>
      <c r="V35" s="36"/>
      <c r="AD35" s="65"/>
      <c r="AE35" s="65"/>
      <c r="AF35" s="65"/>
    </row>
    <row r="36" spans="1:32" ht="12.75">
      <c r="A36" s="37">
        <v>13</v>
      </c>
      <c r="B36" s="8" t="s">
        <v>105</v>
      </c>
      <c r="C36" s="41">
        <v>0</v>
      </c>
      <c r="D36" s="41">
        <f t="shared" si="7"/>
        <v>35717.2941193999</v>
      </c>
      <c r="E36" s="41">
        <f t="shared" si="0"/>
        <v>35717.2941193999</v>
      </c>
      <c r="F36" s="44">
        <f t="shared" si="10"/>
        <v>1</v>
      </c>
      <c r="G36" s="45">
        <f>IF(E36&gt;E35,SUM($E$22:E36),SUM($E$22:E36)-SUM($O$23:O36))</f>
        <v>503151.1917789441</v>
      </c>
      <c r="H36" s="46">
        <f t="shared" si="2"/>
        <v>1</v>
      </c>
      <c r="I36" s="41">
        <f t="shared" si="8"/>
        <v>0</v>
      </c>
      <c r="J36" s="41">
        <f>SUM($I$23:I36)</f>
        <v>33109.074107345434</v>
      </c>
      <c r="K36" s="41">
        <f t="shared" si="3"/>
        <v>3109.0741073454337</v>
      </c>
      <c r="L36" s="44">
        <f t="shared" si="4"/>
        <v>0.31090741073454337</v>
      </c>
      <c r="M36" s="47">
        <f t="shared" si="5"/>
        <v>0.02333136800754196</v>
      </c>
      <c r="N36" s="41">
        <f t="shared" si="9"/>
        <v>10000</v>
      </c>
      <c r="O36" s="42">
        <f t="shared" si="6"/>
        <v>10000</v>
      </c>
      <c r="P36" s="36"/>
      <c r="Q36" s="66"/>
      <c r="R36" s="36"/>
      <c r="S36" s="36"/>
      <c r="T36" s="36"/>
      <c r="U36" s="36"/>
      <c r="V36" s="36"/>
      <c r="AD36" s="65"/>
      <c r="AE36" s="65"/>
      <c r="AF36" s="65"/>
    </row>
    <row r="37" spans="1:32" ht="12.75">
      <c r="A37" s="37">
        <v>14</v>
      </c>
      <c r="B37" s="8" t="s">
        <v>106</v>
      </c>
      <c r="C37" s="41">
        <v>0</v>
      </c>
      <c r="D37" s="41">
        <f t="shared" si="7"/>
        <v>35717.2941193999</v>
      </c>
      <c r="E37" s="41">
        <f t="shared" si="0"/>
        <v>37150.97699228959</v>
      </c>
      <c r="F37" s="44">
        <f t="shared" si="10"/>
        <v>1.040139739256199</v>
      </c>
      <c r="G37" s="45">
        <f>IF(E37&gt;E36,SUM($E$22:E37),SUM($E$22:E37)-SUM($O$23:O37))</f>
        <v>570302.1687712336</v>
      </c>
      <c r="H37" s="46">
        <f t="shared" si="2"/>
        <v>2</v>
      </c>
      <c r="I37" s="41">
        <f t="shared" si="8"/>
        <v>1433.6828728896871</v>
      </c>
      <c r="J37" s="41">
        <f>SUM($I$23:I37)</f>
        <v>34542.75698023512</v>
      </c>
      <c r="K37" s="41">
        <f t="shared" si="3"/>
        <v>3109.0741073454337</v>
      </c>
      <c r="L37" s="44">
        <f t="shared" si="4"/>
        <v>0.31090741073454337</v>
      </c>
      <c r="M37" s="47">
        <f t="shared" si="5"/>
        <v>0.02333136800754196</v>
      </c>
      <c r="N37" s="41">
        <f t="shared" si="9"/>
        <v>10000</v>
      </c>
      <c r="O37" s="42">
        <f t="shared" si="6"/>
        <v>0</v>
      </c>
      <c r="P37" s="36"/>
      <c r="Q37" s="66"/>
      <c r="R37" s="36"/>
      <c r="S37" s="36"/>
      <c r="T37" s="36"/>
      <c r="U37" s="36"/>
      <c r="V37" s="36"/>
      <c r="AD37" s="65"/>
      <c r="AE37" s="65"/>
      <c r="AF37" s="65"/>
    </row>
    <row r="38" spans="1:32" ht="12.75">
      <c r="A38" s="37">
        <v>15</v>
      </c>
      <c r="B38" s="8" t="s">
        <v>107</v>
      </c>
      <c r="C38" s="41">
        <v>0</v>
      </c>
      <c r="D38" s="41">
        <f t="shared" si="7"/>
        <v>35717.2941193999</v>
      </c>
      <c r="E38" s="41">
        <f t="shared" si="0"/>
        <v>38668.74524346049</v>
      </c>
      <c r="F38" s="44">
        <f t="shared" si="10"/>
        <v>1.0826336707980773</v>
      </c>
      <c r="G38" s="45">
        <f>IF(E38&gt;E37,SUM($E$22:E38),SUM($E$22:E38)-SUM($O$23:O38))</f>
        <v>608970.9140146942</v>
      </c>
      <c r="H38" s="46">
        <f t="shared" si="2"/>
        <v>3</v>
      </c>
      <c r="I38" s="41">
        <f t="shared" si="8"/>
        <v>2951.4511240605934</v>
      </c>
      <c r="J38" s="41">
        <f>SUM($I$23:I38)</f>
        <v>37494.208104295714</v>
      </c>
      <c r="K38" s="41">
        <f t="shared" si="3"/>
        <v>4542.756980235121</v>
      </c>
      <c r="L38" s="44">
        <f t="shared" si="4"/>
        <v>0.4542756980235121</v>
      </c>
      <c r="M38" s="47">
        <f t="shared" si="5"/>
        <v>0.02333136800754196</v>
      </c>
      <c r="N38" s="41">
        <f t="shared" si="9"/>
        <v>10000</v>
      </c>
      <c r="O38" s="42">
        <f t="shared" si="6"/>
        <v>0</v>
      </c>
      <c r="P38" s="36"/>
      <c r="Q38" s="66"/>
      <c r="R38" s="36"/>
      <c r="S38" s="36"/>
      <c r="T38" s="36"/>
      <c r="U38" s="36"/>
      <c r="V38" s="36"/>
      <c r="AD38" s="65"/>
      <c r="AE38" s="65"/>
      <c r="AF38" s="65"/>
    </row>
    <row r="39" spans="1:32" ht="12.75">
      <c r="A39" s="37">
        <v>16</v>
      </c>
      <c r="B39" s="8" t="s">
        <v>108</v>
      </c>
      <c r="C39" s="41">
        <v>0</v>
      </c>
      <c r="D39" s="41">
        <f t="shared" si="7"/>
        <v>35717.2941193999</v>
      </c>
      <c r="E39" s="41">
        <f t="shared" si="0"/>
        <v>40278.249982824425</v>
      </c>
      <c r="F39" s="44">
        <f t="shared" si="10"/>
        <v>1.1276960076588567</v>
      </c>
      <c r="G39" s="45">
        <f>IF(E39&gt;E38,SUM($E$22:E39),SUM($E$22:E39)-SUM($O$23:O39))</f>
        <v>649249.1639975186</v>
      </c>
      <c r="H39" s="46">
        <f t="shared" si="2"/>
        <v>4</v>
      </c>
      <c r="I39" s="41">
        <f t="shared" si="8"/>
        <v>4560.955863424526</v>
      </c>
      <c r="J39" s="41">
        <f>SUM($I$23:I39)</f>
        <v>42055.16396772024</v>
      </c>
      <c r="K39" s="41">
        <f t="shared" si="3"/>
        <v>7494.208104295714</v>
      </c>
      <c r="L39" s="44">
        <f t="shared" si="4"/>
        <v>0.7494208104295714</v>
      </c>
      <c r="M39" s="47">
        <f t="shared" si="5"/>
        <v>0.02333136800754196</v>
      </c>
      <c r="N39" s="41">
        <f t="shared" si="9"/>
        <v>10000</v>
      </c>
      <c r="O39" s="42">
        <f t="shared" si="6"/>
        <v>0</v>
      </c>
      <c r="P39" s="36"/>
      <c r="Q39" s="66"/>
      <c r="R39" s="36"/>
      <c r="S39" s="36"/>
      <c r="T39" s="36"/>
      <c r="U39" s="36"/>
      <c r="V39" s="36"/>
      <c r="AD39" s="65"/>
      <c r="AE39" s="65"/>
      <c r="AF39" s="65"/>
    </row>
    <row r="40" spans="1:32" ht="12.75">
      <c r="A40" s="37">
        <v>17</v>
      </c>
      <c r="B40" s="8" t="s">
        <v>109</v>
      </c>
      <c r="C40" s="41">
        <v>0</v>
      </c>
      <c r="D40" s="41">
        <f t="shared" si="7"/>
        <v>35717.2941193999</v>
      </c>
      <c r="E40" s="41">
        <f t="shared" si="0"/>
        <v>35717.2941193999</v>
      </c>
      <c r="F40" s="44">
        <f t="shared" si="10"/>
        <v>1</v>
      </c>
      <c r="G40" s="45">
        <f>IF(E40&gt;E39,SUM($E$22:E40),SUM($E$22:E40)-SUM($O$23:O40))</f>
        <v>644966.4581169185</v>
      </c>
      <c r="H40" s="46">
        <f t="shared" si="2"/>
        <v>1</v>
      </c>
      <c r="I40" s="41">
        <f t="shared" si="8"/>
        <v>0</v>
      </c>
      <c r="J40" s="41">
        <f>SUM($I$23:I40)</f>
        <v>42055.16396772024</v>
      </c>
      <c r="K40" s="41">
        <f t="shared" si="3"/>
        <v>2055.16396772024</v>
      </c>
      <c r="L40" s="44">
        <f t="shared" si="4"/>
        <v>0.20551639677202402</v>
      </c>
      <c r="M40" s="47">
        <f t="shared" si="5"/>
        <v>0.02333136800754196</v>
      </c>
      <c r="N40" s="41">
        <f t="shared" si="9"/>
        <v>10000</v>
      </c>
      <c r="O40" s="42">
        <f t="shared" si="6"/>
        <v>10000</v>
      </c>
      <c r="P40" s="36"/>
      <c r="Q40" s="66"/>
      <c r="R40" s="36"/>
      <c r="S40" s="36"/>
      <c r="T40" s="36"/>
      <c r="U40" s="36"/>
      <c r="V40" s="36"/>
      <c r="AD40" s="65"/>
      <c r="AE40" s="65"/>
      <c r="AF40" s="65"/>
    </row>
    <row r="41" spans="1:32" ht="12.75">
      <c r="A41" s="37">
        <v>18</v>
      </c>
      <c r="B41" s="8" t="s">
        <v>110</v>
      </c>
      <c r="C41" s="41">
        <v>0</v>
      </c>
      <c r="D41" s="41">
        <f t="shared" si="7"/>
        <v>35717.2941193999</v>
      </c>
      <c r="E41" s="41">
        <f t="shared" si="0"/>
        <v>37150.97699228959</v>
      </c>
      <c r="F41" s="44">
        <f t="shared" si="10"/>
        <v>1.040139739256199</v>
      </c>
      <c r="G41" s="45">
        <f>IF(E41&gt;E40,SUM($E$22:E41),SUM($E$22:E41)-SUM($O$23:O41))</f>
        <v>722117.435109208</v>
      </c>
      <c r="H41" s="46">
        <f t="shared" si="2"/>
        <v>2</v>
      </c>
      <c r="I41" s="41">
        <f t="shared" si="8"/>
        <v>1433.6828728896871</v>
      </c>
      <c r="J41" s="41">
        <f>SUM($I$23:I41)</f>
        <v>43488.84684060993</v>
      </c>
      <c r="K41" s="41">
        <f t="shared" si="3"/>
        <v>2055.16396772024</v>
      </c>
      <c r="L41" s="44">
        <f t="shared" si="4"/>
        <v>0.20551639677202402</v>
      </c>
      <c r="M41" s="47">
        <f t="shared" si="5"/>
        <v>0.02333136800754196</v>
      </c>
      <c r="N41" s="41">
        <f t="shared" si="9"/>
        <v>10000</v>
      </c>
      <c r="O41" s="42">
        <f t="shared" si="6"/>
        <v>0</v>
      </c>
      <c r="P41" s="36"/>
      <c r="Q41" s="66"/>
      <c r="R41" s="36"/>
      <c r="S41" s="36"/>
      <c r="T41" s="36"/>
      <c r="U41" s="36"/>
      <c r="V41" s="36"/>
      <c r="AD41" s="65"/>
      <c r="AE41" s="65"/>
      <c r="AF41" s="65"/>
    </row>
    <row r="42" spans="1:32" ht="12.75">
      <c r="A42" s="37">
        <v>19</v>
      </c>
      <c r="B42" s="8" t="s">
        <v>111</v>
      </c>
      <c r="C42" s="41">
        <v>0</v>
      </c>
      <c r="D42" s="41">
        <f t="shared" si="7"/>
        <v>35717.2941193999</v>
      </c>
      <c r="E42" s="41">
        <f t="shared" si="0"/>
        <v>38668.74524346049</v>
      </c>
      <c r="F42" s="44">
        <f t="shared" si="10"/>
        <v>1.0826336707980773</v>
      </c>
      <c r="G42" s="45">
        <f>IF(E42&gt;E41,SUM($E$22:E42),SUM($E$22:E42)-SUM($O$23:O42))</f>
        <v>760786.1803526685</v>
      </c>
      <c r="H42" s="46">
        <f t="shared" si="2"/>
        <v>3</v>
      </c>
      <c r="I42" s="41">
        <f t="shared" si="8"/>
        <v>2951.4511240605934</v>
      </c>
      <c r="J42" s="41">
        <f>SUM($I$23:I42)</f>
        <v>46440.29796467052</v>
      </c>
      <c r="K42" s="41">
        <f t="shared" si="3"/>
        <v>3488.8468406099273</v>
      </c>
      <c r="L42" s="44">
        <f t="shared" si="4"/>
        <v>0.3488846840609927</v>
      </c>
      <c r="M42" s="47">
        <f t="shared" si="5"/>
        <v>0.02333136800754196</v>
      </c>
      <c r="N42" s="41">
        <f t="shared" si="9"/>
        <v>10000</v>
      </c>
      <c r="O42" s="42">
        <f t="shared" si="6"/>
        <v>0</v>
      </c>
      <c r="P42" s="36"/>
      <c r="Q42" s="66"/>
      <c r="R42" s="36"/>
      <c r="S42" s="36"/>
      <c r="T42" s="36"/>
      <c r="U42" s="36"/>
      <c r="V42" s="36"/>
      <c r="AD42" s="65"/>
      <c r="AE42" s="65"/>
      <c r="AF42" s="65"/>
    </row>
    <row r="43" spans="1:32" ht="12.75">
      <c r="A43" s="37">
        <v>20</v>
      </c>
      <c r="B43" s="8" t="s">
        <v>112</v>
      </c>
      <c r="C43" s="41">
        <v>0</v>
      </c>
      <c r="D43" s="41">
        <f t="shared" si="7"/>
        <v>35717.2941193999</v>
      </c>
      <c r="E43" s="41">
        <f t="shared" si="0"/>
        <v>40278.249982824425</v>
      </c>
      <c r="F43" s="44">
        <f t="shared" si="10"/>
        <v>1.1276960076588567</v>
      </c>
      <c r="G43" s="45">
        <f>IF(E43&gt;E42,SUM($E$22:E43),SUM($E$22:E43)-SUM($O$23:O43))</f>
        <v>801064.430335493</v>
      </c>
      <c r="H43" s="46">
        <f t="shared" si="2"/>
        <v>4</v>
      </c>
      <c r="I43" s="41">
        <f t="shared" si="8"/>
        <v>4560.955863424526</v>
      </c>
      <c r="J43" s="41">
        <f>SUM($I$23:I43)</f>
        <v>51001.25382809505</v>
      </c>
      <c r="K43" s="41">
        <f t="shared" si="3"/>
        <v>6440.297964670521</v>
      </c>
      <c r="L43" s="44">
        <f t="shared" si="4"/>
        <v>0.644029796467052</v>
      </c>
      <c r="M43" s="47">
        <f t="shared" si="5"/>
        <v>0.02333136800754196</v>
      </c>
      <c r="N43" s="41">
        <f t="shared" si="9"/>
        <v>10000</v>
      </c>
      <c r="O43" s="42">
        <f t="shared" si="6"/>
        <v>0</v>
      </c>
      <c r="P43" s="36"/>
      <c r="Q43" s="66"/>
      <c r="R43" s="36"/>
      <c r="S43" s="36"/>
      <c r="T43" s="36"/>
      <c r="U43" s="36"/>
      <c r="V43" s="36"/>
      <c r="AD43" s="65"/>
      <c r="AE43" s="65"/>
      <c r="AF43" s="65"/>
    </row>
    <row r="44" spans="1:32" ht="12.75">
      <c r="A44" s="37">
        <v>21</v>
      </c>
      <c r="B44" s="8" t="s">
        <v>113</v>
      </c>
      <c r="C44" s="41">
        <v>0</v>
      </c>
      <c r="D44" s="41">
        <f t="shared" si="7"/>
        <v>35717.2941193999</v>
      </c>
      <c r="E44" s="41">
        <f t="shared" si="0"/>
        <v>35717.2941193999</v>
      </c>
      <c r="F44" s="44">
        <f t="shared" si="10"/>
        <v>1</v>
      </c>
      <c r="G44" s="45">
        <f>IF(E44&gt;E43,SUM($E$22:E44),SUM($E$22:E44)-SUM($O$23:O44))</f>
        <v>786781.7244548928</v>
      </c>
      <c r="H44" s="46">
        <f t="shared" si="2"/>
        <v>1</v>
      </c>
      <c r="I44" s="41">
        <f t="shared" si="8"/>
        <v>0</v>
      </c>
      <c r="J44" s="41">
        <f>SUM($I$23:I44)</f>
        <v>51001.25382809505</v>
      </c>
      <c r="K44" s="41">
        <f t="shared" si="3"/>
        <v>1001.2538280950466</v>
      </c>
      <c r="L44" s="44">
        <f t="shared" si="4"/>
        <v>0.10012538280950466</v>
      </c>
      <c r="M44" s="47">
        <f t="shared" si="5"/>
        <v>0.02333136800754196</v>
      </c>
      <c r="N44" s="41">
        <f t="shared" si="9"/>
        <v>10000</v>
      </c>
      <c r="O44" s="42">
        <f t="shared" si="6"/>
        <v>10000</v>
      </c>
      <c r="P44" s="36"/>
      <c r="Q44" s="66"/>
      <c r="R44" s="36"/>
      <c r="S44" s="36"/>
      <c r="T44" s="36"/>
      <c r="U44" s="36"/>
      <c r="V44" s="36"/>
      <c r="AD44" s="65"/>
      <c r="AE44" s="65"/>
      <c r="AF44" s="65"/>
    </row>
    <row r="45" spans="1:32" ht="12.75">
      <c r="A45" s="37">
        <v>22</v>
      </c>
      <c r="B45" s="8" t="s">
        <v>114</v>
      </c>
      <c r="C45" s="41">
        <v>0</v>
      </c>
      <c r="D45" s="41">
        <f t="shared" si="7"/>
        <v>35717.2941193999</v>
      </c>
      <c r="E45" s="41">
        <f t="shared" si="0"/>
        <v>37150.97699228959</v>
      </c>
      <c r="F45" s="44">
        <f t="shared" si="10"/>
        <v>1.040139739256199</v>
      </c>
      <c r="G45" s="45">
        <f>IF(E45&gt;E44,SUM($E$22:E45),SUM($E$22:E45)-SUM($O$23:O45))</f>
        <v>873932.7014471823</v>
      </c>
      <c r="H45" s="46">
        <f t="shared" si="2"/>
        <v>2</v>
      </c>
      <c r="I45" s="41">
        <f t="shared" si="8"/>
        <v>1433.6828728896871</v>
      </c>
      <c r="J45" s="41">
        <f>SUM($I$23:I45)</f>
        <v>52434.936700984734</v>
      </c>
      <c r="K45" s="41">
        <f t="shared" si="3"/>
        <v>1001.2538280950466</v>
      </c>
      <c r="L45" s="44">
        <f t="shared" si="4"/>
        <v>0.10012538280950466</v>
      </c>
      <c r="M45" s="47">
        <f t="shared" si="5"/>
        <v>0.02333136800754196</v>
      </c>
      <c r="N45" s="41">
        <f t="shared" si="9"/>
        <v>10000</v>
      </c>
      <c r="O45" s="42">
        <f t="shared" si="6"/>
        <v>0</v>
      </c>
      <c r="P45" s="36"/>
      <c r="Q45" s="66"/>
      <c r="R45" s="36"/>
      <c r="S45" s="36"/>
      <c r="T45" s="36"/>
      <c r="U45" s="36"/>
      <c r="V45" s="36"/>
      <c r="AD45" s="65"/>
      <c r="AE45" s="65"/>
      <c r="AF45" s="65"/>
    </row>
    <row r="46" spans="1:32" ht="12.75">
      <c r="A46" s="37">
        <v>23</v>
      </c>
      <c r="B46" s="8" t="s">
        <v>115</v>
      </c>
      <c r="C46" s="41">
        <v>0</v>
      </c>
      <c r="D46" s="41">
        <f t="shared" si="7"/>
        <v>35717.2941193999</v>
      </c>
      <c r="E46" s="41">
        <f t="shared" si="0"/>
        <v>38668.74524346049</v>
      </c>
      <c r="F46" s="44">
        <f t="shared" si="10"/>
        <v>1.0826336707980773</v>
      </c>
      <c r="G46" s="45">
        <f>IF(E46&gt;E45,SUM($E$22:E46),SUM($E$22:E46)-SUM($O$23:O46))</f>
        <v>912601.4466906429</v>
      </c>
      <c r="H46" s="46">
        <f t="shared" si="2"/>
        <v>3</v>
      </c>
      <c r="I46" s="41">
        <f t="shared" si="8"/>
        <v>2951.4511240605934</v>
      </c>
      <c r="J46" s="41">
        <f>SUM($I$23:I46)</f>
        <v>55386.38782504533</v>
      </c>
      <c r="K46" s="41">
        <f t="shared" si="3"/>
        <v>2434.9367009847338</v>
      </c>
      <c r="L46" s="44">
        <f t="shared" si="4"/>
        <v>0.24349367009847336</v>
      </c>
      <c r="M46" s="47">
        <f t="shared" si="5"/>
        <v>0.02333136800754196</v>
      </c>
      <c r="N46" s="41">
        <f t="shared" si="9"/>
        <v>10000</v>
      </c>
      <c r="O46" s="42">
        <f t="shared" si="6"/>
        <v>0</v>
      </c>
      <c r="P46" s="36"/>
      <c r="Q46" s="66"/>
      <c r="R46" s="36"/>
      <c r="S46" s="36"/>
      <c r="T46" s="36"/>
      <c r="U46" s="36"/>
      <c r="V46" s="36"/>
      <c r="AD46" s="65"/>
      <c r="AE46" s="65"/>
      <c r="AF46" s="65"/>
    </row>
    <row r="47" spans="1:32" ht="12.75">
      <c r="A47" s="37">
        <v>24</v>
      </c>
      <c r="B47" s="8" t="s">
        <v>104</v>
      </c>
      <c r="C47" s="41">
        <v>0</v>
      </c>
      <c r="D47" s="41">
        <f t="shared" si="7"/>
        <v>35717.2941193999</v>
      </c>
      <c r="E47" s="41">
        <f t="shared" si="0"/>
        <v>40278.249982824425</v>
      </c>
      <c r="F47" s="44">
        <f t="shared" si="10"/>
        <v>1.1276960076588567</v>
      </c>
      <c r="G47" s="45">
        <f>IF(E47&gt;E46,SUM($E$22:E47),SUM($E$22:E47)-SUM($O$23:O47))</f>
        <v>952879.6966734673</v>
      </c>
      <c r="H47" s="46">
        <f t="shared" si="2"/>
        <v>4</v>
      </c>
      <c r="I47" s="41">
        <f t="shared" si="8"/>
        <v>4560.955863424526</v>
      </c>
      <c r="J47" s="41">
        <f>SUM($I$23:I47)</f>
        <v>59947.34368846985</v>
      </c>
      <c r="K47" s="41">
        <f t="shared" si="3"/>
        <v>5386.387825045327</v>
      </c>
      <c r="L47" s="44">
        <f t="shared" si="4"/>
        <v>0.5386387825045327</v>
      </c>
      <c r="M47" s="47">
        <f t="shared" si="5"/>
        <v>0.02333136800754196</v>
      </c>
      <c r="N47" s="41">
        <f t="shared" si="9"/>
        <v>10000</v>
      </c>
      <c r="O47" s="42">
        <f t="shared" si="6"/>
        <v>0</v>
      </c>
      <c r="P47" s="36"/>
      <c r="Q47" s="66"/>
      <c r="R47" s="36"/>
      <c r="S47" s="36"/>
      <c r="T47" s="36"/>
      <c r="U47" s="36"/>
      <c r="V47" s="36"/>
      <c r="AD47" s="65"/>
      <c r="AE47" s="65"/>
      <c r="AF47" s="65"/>
    </row>
    <row r="48" spans="1:32" ht="12.75">
      <c r="A48" s="37">
        <v>25</v>
      </c>
      <c r="B48" s="8" t="s">
        <v>105</v>
      </c>
      <c r="C48" s="41">
        <v>0</v>
      </c>
      <c r="D48" s="41">
        <f t="shared" si="7"/>
        <v>35717.2941193999</v>
      </c>
      <c r="E48" s="41">
        <f t="shared" si="0"/>
        <v>41988.098645620914</v>
      </c>
      <c r="F48" s="44">
        <f t="shared" si="10"/>
        <v>1.1755677377255467</v>
      </c>
      <c r="G48" s="45">
        <f>IF(E48&gt;E47,SUM($E$22:E48),SUM($E$22:E48)-SUM($O$23:O48))</f>
        <v>994867.7953190882</v>
      </c>
      <c r="H48" s="46">
        <f t="shared" si="2"/>
        <v>5</v>
      </c>
      <c r="I48" s="41">
        <f t="shared" si="8"/>
        <v>6270.804526221014</v>
      </c>
      <c r="J48" s="41">
        <f>SUM($I$23:I48)</f>
        <v>66218.14821469087</v>
      </c>
      <c r="K48" s="41">
        <f t="shared" si="3"/>
        <v>9947.343688469853</v>
      </c>
      <c r="L48" s="44">
        <f t="shared" si="4"/>
        <v>0.9947343688469853</v>
      </c>
      <c r="M48" s="47">
        <f t="shared" si="5"/>
        <v>0.02333136800754196</v>
      </c>
      <c r="N48" s="41">
        <f t="shared" si="9"/>
        <v>10000</v>
      </c>
      <c r="O48" s="42">
        <f t="shared" si="6"/>
        <v>0</v>
      </c>
      <c r="P48" s="36"/>
      <c r="Q48" s="66"/>
      <c r="R48" s="36"/>
      <c r="S48" s="36"/>
      <c r="T48" s="36"/>
      <c r="U48" s="36"/>
      <c r="V48" s="36"/>
      <c r="AD48" s="65"/>
      <c r="AE48" s="65"/>
      <c r="AF48" s="65"/>
    </row>
    <row r="49" spans="1:32" ht="12.75">
      <c r="A49" s="37">
        <v>26</v>
      </c>
      <c r="B49" s="8" t="s">
        <v>106</v>
      </c>
      <c r="C49" s="41">
        <v>0</v>
      </c>
      <c r="D49" s="41">
        <f t="shared" si="7"/>
        <v>35717.2941193999</v>
      </c>
      <c r="E49" s="41">
        <f t="shared" si="0"/>
        <v>35717.2941193999</v>
      </c>
      <c r="F49" s="44">
        <f t="shared" si="10"/>
        <v>1</v>
      </c>
      <c r="G49" s="45">
        <f>IF(E49&gt;E48,SUM($E$22:E49),SUM($E$22:E49)-SUM($O$23:O49))</f>
        <v>970585.089438488</v>
      </c>
      <c r="H49" s="46">
        <f t="shared" si="2"/>
        <v>1</v>
      </c>
      <c r="I49" s="41">
        <f t="shared" si="8"/>
        <v>0</v>
      </c>
      <c r="J49" s="41">
        <f>SUM($I$23:I49)</f>
        <v>66218.14821469087</v>
      </c>
      <c r="K49" s="41">
        <f t="shared" si="3"/>
        <v>6218.1482146908675</v>
      </c>
      <c r="L49" s="44">
        <f t="shared" si="4"/>
        <v>0.6218148214690867</v>
      </c>
      <c r="M49" s="47">
        <f t="shared" si="5"/>
        <v>0.02333136800754196</v>
      </c>
      <c r="N49" s="41">
        <f t="shared" si="9"/>
        <v>10000</v>
      </c>
      <c r="O49" s="42">
        <f t="shared" si="6"/>
        <v>10000</v>
      </c>
      <c r="P49" s="36"/>
      <c r="Q49" s="66"/>
      <c r="R49" s="36"/>
      <c r="S49" s="36"/>
      <c r="T49" s="36"/>
      <c r="U49" s="36"/>
      <c r="V49" s="36"/>
      <c r="AD49" s="65"/>
      <c r="AE49" s="65"/>
      <c r="AF49" s="65"/>
    </row>
    <row r="50" spans="1:32" ht="12.75">
      <c r="A50" s="37">
        <v>27</v>
      </c>
      <c r="B50" s="8" t="s">
        <v>107</v>
      </c>
      <c r="C50" s="41">
        <v>0</v>
      </c>
      <c r="D50" s="41">
        <f t="shared" si="7"/>
        <v>35717.2941193999</v>
      </c>
      <c r="E50" s="41">
        <f t="shared" si="0"/>
        <v>37150.97699228959</v>
      </c>
      <c r="F50" s="44">
        <f t="shared" si="10"/>
        <v>1.040139739256199</v>
      </c>
      <c r="G50" s="45">
        <f>IF(E50&gt;E49,SUM($E$22:E50),SUM($E$22:E50)-SUM($O$23:O50))</f>
        <v>1067736.0664307775</v>
      </c>
      <c r="H50" s="46">
        <f t="shared" si="2"/>
        <v>2</v>
      </c>
      <c r="I50" s="41">
        <f t="shared" si="8"/>
        <v>1433.6828728896871</v>
      </c>
      <c r="J50" s="41">
        <f>SUM($I$23:I50)</f>
        <v>67651.83108758056</v>
      </c>
      <c r="K50" s="41">
        <f t="shared" si="3"/>
        <v>6218.1482146908675</v>
      </c>
      <c r="L50" s="44">
        <f t="shared" si="4"/>
        <v>0.6218148214690867</v>
      </c>
      <c r="M50" s="47">
        <f t="shared" si="5"/>
        <v>0.02333136800754196</v>
      </c>
      <c r="N50" s="41">
        <f t="shared" si="9"/>
        <v>10000</v>
      </c>
      <c r="O50" s="42">
        <f t="shared" si="6"/>
        <v>0</v>
      </c>
      <c r="P50" s="36"/>
      <c r="Q50" s="66"/>
      <c r="R50" s="36"/>
      <c r="S50" s="36"/>
      <c r="T50" s="36"/>
      <c r="U50" s="36"/>
      <c r="V50" s="36"/>
      <c r="AD50" s="65"/>
      <c r="AE50" s="65"/>
      <c r="AF50" s="65"/>
    </row>
    <row r="51" spans="1:32" ht="12.75">
      <c r="A51" s="37">
        <v>28</v>
      </c>
      <c r="B51" s="8" t="s">
        <v>108</v>
      </c>
      <c r="C51" s="41">
        <v>0</v>
      </c>
      <c r="D51" s="41">
        <f t="shared" si="7"/>
        <v>35717.2941193999</v>
      </c>
      <c r="E51" s="41">
        <f t="shared" si="0"/>
        <v>38668.74524346049</v>
      </c>
      <c r="F51" s="44">
        <f>E51/D51</f>
        <v>1.0826336707980773</v>
      </c>
      <c r="G51" s="45">
        <f>IF(E51&gt;E50,SUM($E$22:E51),SUM($E$22:E51)-SUM($O$23:O51))</f>
        <v>1106404.811674238</v>
      </c>
      <c r="H51" s="46">
        <f t="shared" si="2"/>
        <v>3</v>
      </c>
      <c r="I51" s="41">
        <f t="shared" si="8"/>
        <v>2951.4511240605934</v>
      </c>
      <c r="J51" s="41">
        <f>SUM($I$23:I51)</f>
        <v>70603.28221164116</v>
      </c>
      <c r="K51" s="41">
        <f t="shared" si="3"/>
        <v>7651.831087580562</v>
      </c>
      <c r="L51" s="44">
        <f t="shared" si="4"/>
        <v>0.7651831087580562</v>
      </c>
      <c r="M51" s="47">
        <f t="shared" si="5"/>
        <v>0.02333136800754196</v>
      </c>
      <c r="N51" s="41">
        <f t="shared" si="9"/>
        <v>10000</v>
      </c>
      <c r="O51" s="42">
        <f t="shared" si="6"/>
        <v>0</v>
      </c>
      <c r="P51" s="36"/>
      <c r="Q51" s="66"/>
      <c r="R51" s="36"/>
      <c r="S51" s="36"/>
      <c r="T51" s="36"/>
      <c r="U51" s="36"/>
      <c r="V51" s="36"/>
      <c r="AD51" s="65"/>
      <c r="AE51" s="65"/>
      <c r="AF51" s="65"/>
    </row>
    <row r="52" spans="1:32" ht="12.75">
      <c r="A52" s="48"/>
      <c r="B52" s="19"/>
      <c r="C52" s="10"/>
      <c r="D52" s="10"/>
      <c r="E52" s="10"/>
      <c r="F52" s="31"/>
      <c r="G52" s="31"/>
      <c r="H52" s="20"/>
      <c r="I52" s="10"/>
      <c r="J52" s="10"/>
      <c r="K52" s="31"/>
      <c r="L52" s="31"/>
      <c r="M52" s="10"/>
      <c r="N52" s="10"/>
      <c r="O52" s="49"/>
      <c r="P52" s="36"/>
      <c r="Q52" s="67"/>
      <c r="R52" s="36"/>
      <c r="S52" s="36"/>
      <c r="T52" s="36"/>
      <c r="U52" s="36"/>
      <c r="V52" s="36"/>
      <c r="AD52" s="65"/>
      <c r="AE52" s="65"/>
      <c r="AF52" s="65"/>
    </row>
    <row r="53" spans="1:32" ht="12.75">
      <c r="A53" s="50" t="s">
        <v>6</v>
      </c>
      <c r="B53" s="51"/>
      <c r="C53" s="21">
        <f>NPV($D$11,C21:C52)</f>
        <v>0</v>
      </c>
      <c r="D53" s="21"/>
      <c r="E53" s="21">
        <f>NPV($D$11,E22:E52)</f>
        <v>647451.6852937537</v>
      </c>
      <c r="F53" s="21"/>
      <c r="G53" s="21"/>
      <c r="H53" s="21"/>
      <c r="I53" s="52">
        <f>NPV($D$11,I22:I52)</f>
        <v>40839.35451797175</v>
      </c>
      <c r="J53" s="21">
        <f>NPV(D11,J51)</f>
        <v>67887.77135734726</v>
      </c>
      <c r="K53" s="21"/>
      <c r="L53" s="21"/>
      <c r="M53" s="21"/>
      <c r="N53" s="21">
        <f>NPV($D$11,N22:N52)</f>
        <v>169837.1463269106</v>
      </c>
      <c r="O53" s="53"/>
      <c r="P53" s="36"/>
      <c r="Q53" s="67"/>
      <c r="R53" s="36"/>
      <c r="S53" s="36"/>
      <c r="T53" s="36"/>
      <c r="U53" s="36"/>
      <c r="V53" s="36"/>
      <c r="Z53" s="65"/>
      <c r="AB53" s="65"/>
      <c r="AC53" s="65"/>
      <c r="AD53" s="65"/>
      <c r="AE53" s="65"/>
      <c r="AF53" s="65"/>
    </row>
    <row r="54" spans="1:22" ht="13.5" thickBot="1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5"/>
      <c r="O54" s="57"/>
      <c r="P54" s="36"/>
      <c r="Q54" s="67"/>
      <c r="R54" s="36"/>
      <c r="S54" s="36"/>
      <c r="T54" s="36"/>
      <c r="U54" s="36"/>
      <c r="V54" s="36"/>
    </row>
    <row r="55" spans="1:20" ht="12.75" customHeight="1">
      <c r="A55" s="276" t="s">
        <v>82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68"/>
      <c r="R55" s="68"/>
      <c r="S55" s="68"/>
      <c r="T55" s="68"/>
    </row>
    <row r="56" spans="1:16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4"/>
    </row>
    <row r="57" spans="1:20" ht="12.7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70"/>
      <c r="R57" s="70"/>
      <c r="S57" s="70"/>
      <c r="T57" s="70"/>
    </row>
    <row r="58" spans="1:16" ht="38.25">
      <c r="A58" s="14"/>
      <c r="B58" s="14"/>
      <c r="C58" s="26" t="s">
        <v>27</v>
      </c>
      <c r="D58" s="26" t="s">
        <v>28</v>
      </c>
      <c r="E58" s="26" t="s">
        <v>26</v>
      </c>
      <c r="F58" s="26" t="s">
        <v>7</v>
      </c>
      <c r="G58" s="26"/>
      <c r="H58" s="26" t="s">
        <v>7</v>
      </c>
      <c r="I58" s="26" t="s">
        <v>25</v>
      </c>
      <c r="J58" s="26" t="s">
        <v>24</v>
      </c>
      <c r="K58" s="26" t="s">
        <v>8</v>
      </c>
      <c r="L58" s="26" t="s">
        <v>29</v>
      </c>
      <c r="M58" s="26" t="s">
        <v>0</v>
      </c>
      <c r="N58" s="26" t="s">
        <v>0</v>
      </c>
      <c r="O58" s="26" t="s">
        <v>117</v>
      </c>
      <c r="P58" s="26" t="s">
        <v>116</v>
      </c>
    </row>
    <row r="59" spans="1:16" ht="25.5">
      <c r="A59" s="27" t="s">
        <v>103</v>
      </c>
      <c r="B59" s="27" t="s">
        <v>103</v>
      </c>
      <c r="C59" s="27" t="s">
        <v>11</v>
      </c>
      <c r="D59" s="27" t="s">
        <v>12</v>
      </c>
      <c r="E59" s="27" t="s">
        <v>13</v>
      </c>
      <c r="F59" s="27" t="s">
        <v>14</v>
      </c>
      <c r="G59" s="27"/>
      <c r="H59" s="27" t="s">
        <v>13</v>
      </c>
      <c r="I59" s="27" t="s">
        <v>13</v>
      </c>
      <c r="J59" s="27" t="s">
        <v>13</v>
      </c>
      <c r="K59" s="27" t="s">
        <v>15</v>
      </c>
      <c r="L59" s="27" t="s">
        <v>16</v>
      </c>
      <c r="M59" s="27" t="s">
        <v>9</v>
      </c>
      <c r="N59" s="27" t="s">
        <v>10</v>
      </c>
      <c r="O59" s="27" t="s">
        <v>118</v>
      </c>
      <c r="P59" s="27" t="s">
        <v>17</v>
      </c>
    </row>
    <row r="60" spans="1:21" ht="12.75">
      <c r="A60" s="14">
        <v>0</v>
      </c>
      <c r="B60" s="14" t="s">
        <v>104</v>
      </c>
      <c r="C60" s="33">
        <f aca="true" t="shared" si="11" ref="C60:C88">I95</f>
        <v>16508.528389738527</v>
      </c>
      <c r="D60" s="32">
        <f>C60*0.075/60</f>
        <v>20.63566048717316</v>
      </c>
      <c r="E60" s="14">
        <v>14.2</v>
      </c>
      <c r="F60" s="34">
        <f>N6</f>
        <v>20</v>
      </c>
      <c r="G60" s="34"/>
      <c r="H60" s="34">
        <f>F60*14.7/29.92+14.7</f>
        <v>24.526203208556147</v>
      </c>
      <c r="I60" s="34">
        <v>0</v>
      </c>
      <c r="J60" s="34">
        <f aca="true" t="shared" si="12" ref="J60:J88">H60+I60</f>
        <v>24.526203208556147</v>
      </c>
      <c r="K60" s="14">
        <v>68</v>
      </c>
      <c r="L60" s="32">
        <v>0.61</v>
      </c>
      <c r="M60" s="34">
        <f aca="true" t="shared" si="13" ref="M60:M88">D60*53.3*(460+K60)/(550*L60*0.283)*((J60/E60)^0.283-1)</f>
        <v>1023.0429561478855</v>
      </c>
      <c r="N60" s="14">
        <f>M60*0.746</f>
        <v>763.1900452863226</v>
      </c>
      <c r="O60" s="14">
        <f>$D$12</f>
        <v>0.065</v>
      </c>
      <c r="P60" s="15">
        <f>N60*O60*24*30</f>
        <v>35717.2941193999</v>
      </c>
      <c r="R60" s="71"/>
      <c r="U60" s="72"/>
    </row>
    <row r="61" spans="1:21" ht="12.75">
      <c r="A61" s="6">
        <v>1</v>
      </c>
      <c r="B61" s="6" t="s">
        <v>105</v>
      </c>
      <c r="C61" s="11">
        <f t="shared" si="11"/>
        <v>16980.200629445342</v>
      </c>
      <c r="D61" s="13">
        <f aca="true" t="shared" si="14" ref="D61:D88">C61*0.075/60</f>
        <v>21.225250786806676</v>
      </c>
      <c r="E61" s="6">
        <v>14.2</v>
      </c>
      <c r="F61" s="12">
        <f>F60+F60*$N$10</f>
        <v>20.081482475672967</v>
      </c>
      <c r="G61" s="12"/>
      <c r="H61" s="12">
        <f aca="true" t="shared" si="15" ref="H61:H88">F61*14.7/29.92+14.7</f>
        <v>24.56623637675109</v>
      </c>
      <c r="I61" s="12">
        <f>$N$12*H60*(A61)</f>
        <v>0.09992278781457116</v>
      </c>
      <c r="J61" s="12">
        <f t="shared" si="12"/>
        <v>24.66615916456566</v>
      </c>
      <c r="K61" s="6">
        <v>68</v>
      </c>
      <c r="L61" s="13">
        <v>0.61</v>
      </c>
      <c r="M61" s="12">
        <f t="shared" si="13"/>
        <v>1064.107633655553</v>
      </c>
      <c r="N61" s="6">
        <f aca="true" t="shared" si="16" ref="N61:N88">M61*0.746</f>
        <v>793.8242947070424</v>
      </c>
      <c r="O61" s="6">
        <f aca="true" t="shared" si="17" ref="O61:O88">$D$12</f>
        <v>0.065</v>
      </c>
      <c r="P61" s="7">
        <f aca="true" t="shared" si="18" ref="P61:P88">N61*O61*24*30</f>
        <v>37150.97699228959</v>
      </c>
      <c r="U61" s="72"/>
    </row>
    <row r="62" spans="1:21" ht="12.75">
      <c r="A62" s="6">
        <v>2</v>
      </c>
      <c r="B62" s="6" t="s">
        <v>106</v>
      </c>
      <c r="C62" s="11">
        <f t="shared" si="11"/>
        <v>17479.618295017262</v>
      </c>
      <c r="D62" s="13">
        <f t="shared" si="14"/>
        <v>21.84952286877158</v>
      </c>
      <c r="E62" s="6">
        <v>14.2</v>
      </c>
      <c r="F62" s="12">
        <f aca="true" t="shared" si="19" ref="F62:F88">F61+F61*$N$10</f>
        <v>20.163296921038025</v>
      </c>
      <c r="G62" s="12"/>
      <c r="H62" s="12">
        <f t="shared" si="15"/>
        <v>24.606432645028708</v>
      </c>
      <c r="I62" s="12">
        <f aca="true" t="shared" si="20" ref="I62:I88">$N$12*H61*(A62)</f>
        <v>0.20017177579449794</v>
      </c>
      <c r="J62" s="12">
        <f t="shared" si="12"/>
        <v>24.806604420823206</v>
      </c>
      <c r="K62" s="6">
        <v>68</v>
      </c>
      <c r="L62" s="13">
        <v>0.61</v>
      </c>
      <c r="M62" s="12">
        <f t="shared" si="13"/>
        <v>1107.5807509985018</v>
      </c>
      <c r="N62" s="6">
        <f t="shared" si="16"/>
        <v>826.2552402448823</v>
      </c>
      <c r="O62" s="6">
        <f t="shared" si="17"/>
        <v>0.065</v>
      </c>
      <c r="P62" s="7">
        <f t="shared" si="18"/>
        <v>38668.74524346049</v>
      </c>
      <c r="U62" s="72"/>
    </row>
    <row r="63" spans="1:21" ht="12.75">
      <c r="A63" s="6">
        <v>3</v>
      </c>
      <c r="B63" s="6" t="s">
        <v>107</v>
      </c>
      <c r="C63" s="11">
        <f t="shared" si="11"/>
        <v>18009.303697896576</v>
      </c>
      <c r="D63" s="13">
        <f t="shared" si="14"/>
        <v>22.51162962237072</v>
      </c>
      <c r="E63" s="6">
        <v>14.2</v>
      </c>
      <c r="F63" s="12">
        <f t="shared" si="19"/>
        <v>20.24544468858079</v>
      </c>
      <c r="G63" s="12"/>
      <c r="H63" s="12">
        <f t="shared" si="15"/>
        <v>24.646792677878928</v>
      </c>
      <c r="I63" s="12">
        <f t="shared" si="20"/>
        <v>0.30074895740955815</v>
      </c>
      <c r="J63" s="12">
        <f t="shared" si="12"/>
        <v>24.947541635288484</v>
      </c>
      <c r="K63" s="6">
        <v>68</v>
      </c>
      <c r="L63" s="13">
        <v>0.61</v>
      </c>
      <c r="M63" s="12">
        <f t="shared" si="13"/>
        <v>1153.6814573114852</v>
      </c>
      <c r="N63" s="6">
        <f t="shared" si="16"/>
        <v>860.646367154368</v>
      </c>
      <c r="O63" s="6">
        <f t="shared" si="17"/>
        <v>0.065</v>
      </c>
      <c r="P63" s="7">
        <f t="shared" si="18"/>
        <v>40278.249982824425</v>
      </c>
      <c r="U63" s="72"/>
    </row>
    <row r="64" spans="1:21" ht="12.75">
      <c r="A64" s="6">
        <v>4</v>
      </c>
      <c r="B64" s="6" t="s">
        <v>108</v>
      </c>
      <c r="C64" s="11">
        <f t="shared" si="11"/>
        <v>18572.09443845584</v>
      </c>
      <c r="D64" s="13">
        <f t="shared" si="14"/>
        <v>23.2151180480698</v>
      </c>
      <c r="E64" s="6">
        <v>14.2</v>
      </c>
      <c r="F64" s="12">
        <f t="shared" si="19"/>
        <v>20.327927136297074</v>
      </c>
      <c r="G64" s="12"/>
      <c r="H64" s="12">
        <f t="shared" si="15"/>
        <v>24.687317142498895</v>
      </c>
      <c r="I64" s="12">
        <f t="shared" si="20"/>
        <v>0.40165633695838654</v>
      </c>
      <c r="J64" s="12">
        <f t="shared" si="12"/>
        <v>25.08897347945728</v>
      </c>
      <c r="K64" s="6">
        <v>68</v>
      </c>
      <c r="L64" s="13">
        <v>0.61</v>
      </c>
      <c r="M64" s="12">
        <f t="shared" si="13"/>
        <v>1202.6562935548257</v>
      </c>
      <c r="N64" s="6">
        <f t="shared" si="16"/>
        <v>897.1815949918999</v>
      </c>
      <c r="O64" s="6">
        <f t="shared" si="17"/>
        <v>0.065</v>
      </c>
      <c r="P64" s="7">
        <f t="shared" si="18"/>
        <v>41988.098645620914</v>
      </c>
      <c r="U64" s="72"/>
    </row>
    <row r="65" spans="1:21" ht="12.75">
      <c r="A65" s="6">
        <v>5</v>
      </c>
      <c r="B65" s="6" t="s">
        <v>109</v>
      </c>
      <c r="C65" s="11">
        <f t="shared" si="11"/>
        <v>19171.19425905119</v>
      </c>
      <c r="D65" s="13">
        <f t="shared" si="14"/>
        <v>23.96399282381399</v>
      </c>
      <c r="E65" s="6">
        <v>14.2</v>
      </c>
      <c r="F65" s="12">
        <f t="shared" si="19"/>
        <v>20.410745627715333</v>
      </c>
      <c r="G65" s="12"/>
      <c r="H65" s="12">
        <f t="shared" si="15"/>
        <v>24.72800670880399</v>
      </c>
      <c r="I65" s="12">
        <f t="shared" si="20"/>
        <v>0.5028959296236223</v>
      </c>
      <c r="J65" s="12">
        <f t="shared" si="12"/>
        <v>25.23090263842761</v>
      </c>
      <c r="K65" s="6">
        <v>68</v>
      </c>
      <c r="L65" s="13">
        <v>0.61</v>
      </c>
      <c r="M65" s="12">
        <f t="shared" si="13"/>
        <v>1254.783610578697</v>
      </c>
      <c r="N65" s="6">
        <f t="shared" si="16"/>
        <v>936.0685734917081</v>
      </c>
      <c r="O65" s="6">
        <f t="shared" si="17"/>
        <v>0.065</v>
      </c>
      <c r="P65" s="7">
        <f t="shared" si="18"/>
        <v>43808.00923941194</v>
      </c>
      <c r="U65" s="72"/>
    </row>
    <row r="66" spans="1:21" ht="12.75">
      <c r="A66" s="6">
        <v>6</v>
      </c>
      <c r="B66" s="6" t="s">
        <v>110</v>
      </c>
      <c r="C66" s="11">
        <f t="shared" si="11"/>
        <v>19810.234067686233</v>
      </c>
      <c r="D66" s="13">
        <f t="shared" si="14"/>
        <v>24.76279258460779</v>
      </c>
      <c r="E66" s="6">
        <v>14.2</v>
      </c>
      <c r="F66" s="12">
        <f t="shared" si="19"/>
        <v>20.493901531919203</v>
      </c>
      <c r="G66" s="12"/>
      <c r="H66" s="12">
        <f t="shared" si="15"/>
        <v>24.768862049438912</v>
      </c>
      <c r="I66" s="12">
        <f t="shared" si="20"/>
        <v>0.6044697615273262</v>
      </c>
      <c r="J66" s="12">
        <f t="shared" si="12"/>
        <v>25.37333181096624</v>
      </c>
      <c r="K66" s="6">
        <v>68</v>
      </c>
      <c r="L66" s="13">
        <v>0.61</v>
      </c>
      <c r="M66" s="12">
        <f t="shared" si="13"/>
        <v>1310.3788707996991</v>
      </c>
      <c r="N66" s="6">
        <f t="shared" si="16"/>
        <v>977.5426376165756</v>
      </c>
      <c r="O66" s="6">
        <f t="shared" si="17"/>
        <v>0.065</v>
      </c>
      <c r="P66" s="7">
        <f t="shared" si="18"/>
        <v>45748.995440455736</v>
      </c>
      <c r="U66" s="72"/>
    </row>
    <row r="67" spans="1:21" ht="12.75">
      <c r="A67" s="6">
        <v>7</v>
      </c>
      <c r="B67" s="6" t="s">
        <v>111</v>
      </c>
      <c r="C67" s="11">
        <f t="shared" si="11"/>
        <v>20493.345587261614</v>
      </c>
      <c r="D67" s="13">
        <f t="shared" si="14"/>
        <v>25.616681984077015</v>
      </c>
      <c r="E67" s="6">
        <v>14.2</v>
      </c>
      <c r="F67" s="12">
        <f t="shared" si="19"/>
        <v>20.577396223570144</v>
      </c>
      <c r="G67" s="12"/>
      <c r="H67" s="12">
        <f t="shared" si="15"/>
        <v>24.809883839788807</v>
      </c>
      <c r="I67" s="12">
        <f t="shared" si="20"/>
        <v>0.7063798697866692</v>
      </c>
      <c r="J67" s="12">
        <f t="shared" si="12"/>
        <v>25.516263709575476</v>
      </c>
      <c r="K67" s="6">
        <v>68</v>
      </c>
      <c r="L67" s="13">
        <v>0.61</v>
      </c>
      <c r="M67" s="12">
        <f t="shared" si="13"/>
        <v>1369.8010467754875</v>
      </c>
      <c r="N67" s="6">
        <f t="shared" si="16"/>
        <v>1021.8715808945137</v>
      </c>
      <c r="O67" s="6">
        <f t="shared" si="17"/>
        <v>0.065</v>
      </c>
      <c r="P67" s="7">
        <f t="shared" si="18"/>
        <v>47823.58998586324</v>
      </c>
      <c r="U67" s="72"/>
    </row>
    <row r="68" spans="1:21" ht="12.75">
      <c r="A68" s="6">
        <v>8</v>
      </c>
      <c r="B68" s="6" t="s">
        <v>112</v>
      </c>
      <c r="C68" s="11">
        <f t="shared" si="11"/>
        <v>21225.25078680667</v>
      </c>
      <c r="D68" s="13">
        <f t="shared" si="14"/>
        <v>26.53156348350834</v>
      </c>
      <c r="E68" s="6">
        <v>14.2</v>
      </c>
      <c r="F68" s="12">
        <f t="shared" si="19"/>
        <v>20.661231082930147</v>
      </c>
      <c r="G68" s="12"/>
      <c r="H68" s="12">
        <f t="shared" si="15"/>
        <v>24.851072757990412</v>
      </c>
      <c r="I68" s="12">
        <f t="shared" si="20"/>
        <v>0.8086283025698922</v>
      </c>
      <c r="J68" s="12">
        <f t="shared" si="12"/>
        <v>25.659701060560305</v>
      </c>
      <c r="K68" s="6">
        <v>68</v>
      </c>
      <c r="L68" s="13">
        <v>0.61</v>
      </c>
      <c r="M68" s="12">
        <f t="shared" si="13"/>
        <v>1433.4603909019809</v>
      </c>
      <c r="N68" s="6">
        <f t="shared" si="16"/>
        <v>1069.3614516128778</v>
      </c>
      <c r="O68" s="6">
        <f t="shared" si="17"/>
        <v>0.065</v>
      </c>
      <c r="P68" s="7">
        <f t="shared" si="18"/>
        <v>50046.115935482674</v>
      </c>
      <c r="U68" s="72"/>
    </row>
    <row r="69" spans="1:21" ht="12.75">
      <c r="A69" s="6">
        <v>9</v>
      </c>
      <c r="B69" s="6" t="s">
        <v>113</v>
      </c>
      <c r="C69" s="11">
        <f t="shared" si="11"/>
        <v>22011.371186318025</v>
      </c>
      <c r="D69" s="13">
        <f t="shared" si="14"/>
        <v>27.514213982897534</v>
      </c>
      <c r="E69" s="6">
        <v>14.2</v>
      </c>
      <c r="F69" s="12">
        <f t="shared" si="19"/>
        <v>20.745407495884567</v>
      </c>
      <c r="G69" s="12"/>
      <c r="H69" s="12">
        <f t="shared" si="15"/>
        <v>24.892429484943285</v>
      </c>
      <c r="I69" s="12">
        <f t="shared" si="20"/>
        <v>0.9112171191525398</v>
      </c>
      <c r="J69" s="12">
        <f t="shared" si="12"/>
        <v>25.803646604095825</v>
      </c>
      <c r="K69" s="6">
        <v>68</v>
      </c>
      <c r="L69" s="13">
        <v>0.61</v>
      </c>
      <c r="M69" s="12">
        <f t="shared" si="13"/>
        <v>1501.827931709359</v>
      </c>
      <c r="N69" s="6">
        <f t="shared" si="16"/>
        <v>1120.363637055182</v>
      </c>
      <c r="O69" s="6">
        <f t="shared" si="17"/>
        <v>0.065</v>
      </c>
      <c r="P69" s="7">
        <f t="shared" si="18"/>
        <v>52433.01821418251</v>
      </c>
      <c r="U69" s="72"/>
    </row>
    <row r="70" spans="1:21" ht="12.75">
      <c r="A70" s="6">
        <v>10</v>
      </c>
      <c r="B70" s="6" t="s">
        <v>114</v>
      </c>
      <c r="C70" s="11">
        <f t="shared" si="11"/>
        <v>22857.962385791794</v>
      </c>
      <c r="D70" s="13">
        <f t="shared" si="14"/>
        <v>28.572452982239742</v>
      </c>
      <c r="E70" s="6">
        <v>14.2</v>
      </c>
      <c r="F70" s="12">
        <f t="shared" si="19"/>
        <v>20.829926853965027</v>
      </c>
      <c r="G70" s="12"/>
      <c r="H70" s="12">
        <f t="shared" si="15"/>
        <v>24.933954704321053</v>
      </c>
      <c r="I70" s="12">
        <f t="shared" si="20"/>
        <v>1.0141483899739698</v>
      </c>
      <c r="J70" s="12">
        <f t="shared" si="12"/>
        <v>25.94810309429502</v>
      </c>
      <c r="K70" s="6">
        <v>68</v>
      </c>
      <c r="L70" s="13">
        <v>0.61</v>
      </c>
      <c r="M70" s="12">
        <f t="shared" si="13"/>
        <v>1575.4471616104274</v>
      </c>
      <c r="N70" s="6">
        <f t="shared" si="16"/>
        <v>1175.2835825613788</v>
      </c>
      <c r="O70" s="6">
        <f t="shared" si="17"/>
        <v>0.065</v>
      </c>
      <c r="P70" s="7">
        <f t="shared" si="18"/>
        <v>55003.271663872525</v>
      </c>
      <c r="U70" s="72"/>
    </row>
    <row r="71" spans="1:21" ht="12.75">
      <c r="A71" s="6">
        <v>11</v>
      </c>
      <c r="B71" s="6" t="s">
        <v>115</v>
      </c>
      <c r="C71" s="11">
        <f t="shared" si="11"/>
        <v>23772.28088122346</v>
      </c>
      <c r="D71" s="13">
        <f t="shared" si="14"/>
        <v>29.715351101529325</v>
      </c>
      <c r="E71" s="6">
        <v>14.2</v>
      </c>
      <c r="F71" s="12">
        <f t="shared" si="19"/>
        <v>20.91479055437242</v>
      </c>
      <c r="G71" s="12"/>
      <c r="H71" s="12">
        <f t="shared" si="15"/>
        <v>24.975649102582704</v>
      </c>
      <c r="I71" s="12">
        <f t="shared" si="20"/>
        <v>1.1174241966941367</v>
      </c>
      <c r="J71" s="12">
        <f t="shared" si="12"/>
        <v>26.093073299276842</v>
      </c>
      <c r="K71" s="6">
        <v>68</v>
      </c>
      <c r="L71" s="13">
        <v>0.61</v>
      </c>
      <c r="M71" s="12">
        <f t="shared" si="13"/>
        <v>1654.9485297079889</v>
      </c>
      <c r="N71" s="6">
        <f t="shared" si="16"/>
        <v>1234.5916031621598</v>
      </c>
      <c r="O71" s="6">
        <f t="shared" si="17"/>
        <v>0.065</v>
      </c>
      <c r="P71" s="7">
        <f t="shared" si="18"/>
        <v>57778.887027989076</v>
      </c>
      <c r="U71" s="72"/>
    </row>
    <row r="72" spans="1:21" ht="12.75">
      <c r="A72" s="14">
        <v>12</v>
      </c>
      <c r="B72" s="14" t="s">
        <v>104</v>
      </c>
      <c r="C72" s="33">
        <f t="shared" si="11"/>
        <v>24762.79258460777</v>
      </c>
      <c r="D72" s="32">
        <f>C72*0.075/60</f>
        <v>30.95349073075971</v>
      </c>
      <c r="E72" s="14">
        <v>14.2</v>
      </c>
      <c r="F72" s="34">
        <f t="shared" si="19"/>
        <v>21.000000000000014</v>
      </c>
      <c r="G72" s="34"/>
      <c r="H72" s="34">
        <f t="shared" si="15"/>
        <v>25.017513368983963</v>
      </c>
      <c r="I72" s="12">
        <f t="shared" si="20"/>
        <v>1.2210466322506541</v>
      </c>
      <c r="J72" s="34">
        <f t="shared" si="12"/>
        <v>26.238560001234617</v>
      </c>
      <c r="K72" s="14">
        <v>68</v>
      </c>
      <c r="L72" s="32">
        <v>0.61</v>
      </c>
      <c r="M72" s="34">
        <f t="shared" si="13"/>
        <v>1741.0675578034545</v>
      </c>
      <c r="N72" s="14">
        <f t="shared" si="16"/>
        <v>1298.836398121377</v>
      </c>
      <c r="O72" s="14">
        <f t="shared" si="17"/>
        <v>0.065</v>
      </c>
      <c r="P72" s="15">
        <f t="shared" si="18"/>
        <v>60785.543432080456</v>
      </c>
      <c r="U72" s="72"/>
    </row>
    <row r="73" spans="1:21" ht="12.75">
      <c r="A73" s="6">
        <v>13</v>
      </c>
      <c r="B73" s="6" t="s">
        <v>105</v>
      </c>
      <c r="C73" s="11">
        <f t="shared" si="11"/>
        <v>25839.43574046028</v>
      </c>
      <c r="D73" s="13">
        <f t="shared" si="14"/>
        <v>32.29929467557535</v>
      </c>
      <c r="E73" s="6">
        <v>14.2</v>
      </c>
      <c r="F73" s="12">
        <f t="shared" si="19"/>
        <v>21.08555659945663</v>
      </c>
      <c r="G73" s="12"/>
      <c r="H73" s="12">
        <f t="shared" si="15"/>
        <v>25.05954819558865</v>
      </c>
      <c r="I73" s="12">
        <f t="shared" si="20"/>
        <v>1.3250178009161366</v>
      </c>
      <c r="J73" s="12">
        <f t="shared" si="12"/>
        <v>26.384565996504787</v>
      </c>
      <c r="K73" s="6">
        <v>68</v>
      </c>
      <c r="L73" s="13">
        <v>0.61</v>
      </c>
      <c r="M73" s="12">
        <f t="shared" si="13"/>
        <v>1834.667682320151</v>
      </c>
      <c r="N73" s="6">
        <f t="shared" si="16"/>
        <v>1368.6620910108327</v>
      </c>
      <c r="O73" s="6">
        <f t="shared" si="17"/>
        <v>0.065</v>
      </c>
      <c r="P73" s="7">
        <f t="shared" si="18"/>
        <v>64053.38585930696</v>
      </c>
      <c r="U73" s="72"/>
    </row>
    <row r="74" spans="1:21" ht="12.75">
      <c r="A74" s="6">
        <v>14</v>
      </c>
      <c r="B74" s="6" t="s">
        <v>106</v>
      </c>
      <c r="C74" s="11">
        <f t="shared" si="11"/>
        <v>27013.95554684484</v>
      </c>
      <c r="D74" s="13">
        <f t="shared" si="14"/>
        <v>33.76744443355605</v>
      </c>
      <c r="E74" s="6">
        <v>14.2</v>
      </c>
      <c r="F74" s="12">
        <f t="shared" si="19"/>
        <v>21.17146176708994</v>
      </c>
      <c r="G74" s="12"/>
      <c r="H74" s="12">
        <f t="shared" si="15"/>
        <v>25.10175427728015</v>
      </c>
      <c r="I74" s="12">
        <f t="shared" si="20"/>
        <v>1.4293398183558186</v>
      </c>
      <c r="J74" s="12">
        <f t="shared" si="12"/>
        <v>26.531094095635968</v>
      </c>
      <c r="K74" s="6">
        <v>68</v>
      </c>
      <c r="L74" s="13">
        <v>0.61</v>
      </c>
      <c r="M74" s="12">
        <f t="shared" si="13"/>
        <v>1936.769325841431</v>
      </c>
      <c r="N74" s="6">
        <f t="shared" si="16"/>
        <v>1444.8299170777075</v>
      </c>
      <c r="O74" s="6">
        <f t="shared" si="17"/>
        <v>0.065</v>
      </c>
      <c r="P74" s="7">
        <f t="shared" si="18"/>
        <v>67618.04011923671</v>
      </c>
      <c r="U74" s="72"/>
    </row>
    <row r="75" spans="1:21" ht="12.75">
      <c r="A75" s="6">
        <v>15</v>
      </c>
      <c r="B75" s="6" t="s">
        <v>107</v>
      </c>
      <c r="C75" s="11">
        <f t="shared" si="11"/>
        <v>28300.334382408873</v>
      </c>
      <c r="D75" s="13">
        <f t="shared" si="14"/>
        <v>35.37541797801109</v>
      </c>
      <c r="E75" s="6">
        <v>14.2</v>
      </c>
      <c r="F75" s="12">
        <f t="shared" si="19"/>
        <v>21.257716923009845</v>
      </c>
      <c r="G75" s="12"/>
      <c r="H75" s="12">
        <f t="shared" si="15"/>
        <v>25.144132311772882</v>
      </c>
      <c r="I75" s="12">
        <f t="shared" si="20"/>
        <v>1.5340148116854577</v>
      </c>
      <c r="J75" s="12">
        <f t="shared" si="12"/>
        <v>26.67814712345834</v>
      </c>
      <c r="K75" s="6">
        <v>68</v>
      </c>
      <c r="L75" s="13">
        <v>0.61</v>
      </c>
      <c r="M75" s="12">
        <f t="shared" si="13"/>
        <v>2048.5872748019005</v>
      </c>
      <c r="N75" s="6">
        <f t="shared" si="16"/>
        <v>1528.2461070022177</v>
      </c>
      <c r="O75" s="6">
        <f t="shared" si="17"/>
        <v>0.065</v>
      </c>
      <c r="P75" s="7">
        <f t="shared" si="18"/>
        <v>71521.9178077038</v>
      </c>
      <c r="U75" s="72"/>
    </row>
    <row r="76" spans="1:21" ht="12.75">
      <c r="A76" s="6">
        <v>16</v>
      </c>
      <c r="B76" s="6" t="s">
        <v>108</v>
      </c>
      <c r="C76" s="11">
        <f t="shared" si="11"/>
        <v>29715.35110152932</v>
      </c>
      <c r="D76" s="13">
        <f t="shared" si="14"/>
        <v>37.14418887691165</v>
      </c>
      <c r="E76" s="6">
        <v>14.2</v>
      </c>
      <c r="F76" s="12">
        <f t="shared" si="19"/>
        <v>21.344323493111943</v>
      </c>
      <c r="G76" s="12"/>
      <c r="H76" s="12">
        <f t="shared" si="15"/>
        <v>25.186682999623848</v>
      </c>
      <c r="I76" s="12">
        <f t="shared" si="20"/>
        <v>1.6390449195295194</v>
      </c>
      <c r="J76" s="12">
        <f t="shared" si="12"/>
        <v>26.825727919153366</v>
      </c>
      <c r="K76" s="6">
        <v>68</v>
      </c>
      <c r="L76" s="13">
        <v>0.61</v>
      </c>
      <c r="M76" s="12">
        <f t="shared" si="13"/>
        <v>2171.5792704853575</v>
      </c>
      <c r="N76" s="6">
        <f t="shared" si="16"/>
        <v>1619.9981357820766</v>
      </c>
      <c r="O76" s="6">
        <f t="shared" si="17"/>
        <v>0.065</v>
      </c>
      <c r="P76" s="7">
        <f t="shared" si="18"/>
        <v>75815.91275460119</v>
      </c>
      <c r="U76" s="72"/>
    </row>
    <row r="77" spans="1:21" ht="12.75">
      <c r="A77" s="6">
        <v>17</v>
      </c>
      <c r="B77" s="6" t="s">
        <v>109</v>
      </c>
      <c r="C77" s="11">
        <f t="shared" si="11"/>
        <v>31279.316948978227</v>
      </c>
      <c r="D77" s="13">
        <f t="shared" si="14"/>
        <v>39.09914618622278</v>
      </c>
      <c r="E77" s="6">
        <v>14.2</v>
      </c>
      <c r="F77" s="12">
        <f t="shared" si="19"/>
        <v>21.431282909101114</v>
      </c>
      <c r="G77" s="12"/>
      <c r="H77" s="12">
        <f t="shared" si="15"/>
        <v>25.229407044244194</v>
      </c>
      <c r="I77" s="12">
        <f t="shared" si="20"/>
        <v>1.7444322920796458</v>
      </c>
      <c r="J77" s="12">
        <f t="shared" si="12"/>
        <v>26.97383933632384</v>
      </c>
      <c r="K77" s="6">
        <v>68</v>
      </c>
      <c r="L77" s="13">
        <v>0.61</v>
      </c>
      <c r="M77" s="12">
        <f t="shared" si="13"/>
        <v>2307.5099445477126</v>
      </c>
      <c r="N77" s="6">
        <f t="shared" si="16"/>
        <v>1721.4024186325937</v>
      </c>
      <c r="O77" s="6">
        <f t="shared" si="17"/>
        <v>0.065</v>
      </c>
      <c r="P77" s="7">
        <f t="shared" si="18"/>
        <v>80561.63319200539</v>
      </c>
      <c r="U77" s="72"/>
    </row>
    <row r="78" spans="1:21" ht="12.75">
      <c r="A78" s="6">
        <v>18</v>
      </c>
      <c r="B78" s="6" t="s">
        <v>110</v>
      </c>
      <c r="C78" s="11">
        <f t="shared" si="11"/>
        <v>33017.05677947702</v>
      </c>
      <c r="D78" s="13">
        <f t="shared" si="14"/>
        <v>41.271320974346274</v>
      </c>
      <c r="E78" s="6">
        <v>14.2</v>
      </c>
      <c r="F78" s="12">
        <f t="shared" si="19"/>
        <v>21.51859660851518</v>
      </c>
      <c r="G78" s="12"/>
      <c r="H78" s="12">
        <f t="shared" si="15"/>
        <v>25.272305151910864</v>
      </c>
      <c r="I78" s="12">
        <f t="shared" si="20"/>
        <v>1.8501790911534104</v>
      </c>
      <c r="J78" s="12">
        <f t="shared" si="12"/>
        <v>27.122484243064275</v>
      </c>
      <c r="K78" s="6">
        <v>68</v>
      </c>
      <c r="L78" s="13">
        <v>0.61</v>
      </c>
      <c r="M78" s="12">
        <f t="shared" si="13"/>
        <v>2458.5360663801853</v>
      </c>
      <c r="N78" s="6">
        <f t="shared" si="16"/>
        <v>1834.0679055196183</v>
      </c>
      <c r="O78" s="6">
        <f t="shared" si="17"/>
        <v>0.065</v>
      </c>
      <c r="P78" s="7">
        <f t="shared" si="18"/>
        <v>85834.37797831814</v>
      </c>
      <c r="U78" s="72"/>
    </row>
    <row r="79" spans="1:21" ht="12.75">
      <c r="A79" s="6">
        <v>19</v>
      </c>
      <c r="B79" s="6" t="s">
        <v>111</v>
      </c>
      <c r="C79" s="11">
        <f t="shared" si="11"/>
        <v>34959.23659003449</v>
      </c>
      <c r="D79" s="13">
        <f t="shared" si="14"/>
        <v>43.69904573754311</v>
      </c>
      <c r="E79" s="6">
        <v>14.2</v>
      </c>
      <c r="F79" s="12">
        <f t="shared" si="19"/>
        <v>21.606266034748664</v>
      </c>
      <c r="G79" s="12"/>
      <c r="H79" s="12">
        <f t="shared" si="15"/>
        <v>25.315378031778252</v>
      </c>
      <c r="I79" s="12">
        <f t="shared" si="20"/>
        <v>1.9562874902533585</v>
      </c>
      <c r="J79" s="12">
        <f t="shared" si="12"/>
        <v>27.27166552203161</v>
      </c>
      <c r="K79" s="6">
        <v>68</v>
      </c>
      <c r="L79" s="13">
        <v>0.61</v>
      </c>
      <c r="M79" s="12">
        <f t="shared" si="13"/>
        <v>2627.3218777764446</v>
      </c>
      <c r="N79" s="6">
        <f t="shared" si="16"/>
        <v>1959.9821208212277</v>
      </c>
      <c r="O79" s="6">
        <f t="shared" si="17"/>
        <v>0.065</v>
      </c>
      <c r="P79" s="7">
        <f t="shared" si="18"/>
        <v>91727.16325443346</v>
      </c>
      <c r="U79" s="72"/>
    </row>
    <row r="80" spans="1:21" ht="12.75">
      <c r="A80" s="6">
        <v>20</v>
      </c>
      <c r="B80" s="6" t="s">
        <v>112</v>
      </c>
      <c r="C80" s="11">
        <f t="shared" si="11"/>
        <v>37144.188876911634</v>
      </c>
      <c r="D80" s="13">
        <f t="shared" si="14"/>
        <v>46.43023609613954</v>
      </c>
      <c r="E80" s="6">
        <v>14.2</v>
      </c>
      <c r="F80" s="12">
        <f t="shared" si="19"/>
        <v>21.694292637076668</v>
      </c>
      <c r="G80" s="12"/>
      <c r="H80" s="12">
        <f t="shared" si="15"/>
        <v>25.35862639588994</v>
      </c>
      <c r="I80" s="12">
        <f t="shared" si="20"/>
        <v>2.0627596746263364</v>
      </c>
      <c r="J80" s="12">
        <f t="shared" si="12"/>
        <v>27.421386070516274</v>
      </c>
      <c r="K80" s="6">
        <v>68</v>
      </c>
      <c r="L80" s="13">
        <v>0.61</v>
      </c>
      <c r="M80" s="12">
        <f t="shared" si="13"/>
        <v>2817.197678099163</v>
      </c>
      <c r="N80" s="6">
        <f t="shared" si="16"/>
        <v>2101.6294678619756</v>
      </c>
      <c r="O80" s="6">
        <f t="shared" si="17"/>
        <v>0.065</v>
      </c>
      <c r="P80" s="7">
        <f t="shared" si="18"/>
        <v>98356.25909594048</v>
      </c>
      <c r="U80" s="72"/>
    </row>
    <row r="81" spans="1:21" ht="12.75">
      <c r="A81" s="6">
        <v>21</v>
      </c>
      <c r="B81" s="6" t="s">
        <v>113</v>
      </c>
      <c r="C81" s="11">
        <f t="shared" si="11"/>
        <v>39620.468135372415</v>
      </c>
      <c r="D81" s="13">
        <f t="shared" si="14"/>
        <v>49.52558516921552</v>
      </c>
      <c r="E81" s="6">
        <v>14.2</v>
      </c>
      <c r="F81" s="12">
        <f t="shared" si="19"/>
        <v>21.78267787067881</v>
      </c>
      <c r="G81" s="12"/>
      <c r="H81" s="12">
        <f t="shared" si="15"/>
        <v>25.402050959190454</v>
      </c>
      <c r="I81" s="12">
        <f t="shared" si="20"/>
        <v>2.1695978413231107</v>
      </c>
      <c r="J81" s="12">
        <f t="shared" si="12"/>
        <v>27.571648800513564</v>
      </c>
      <c r="K81" s="6">
        <v>68</v>
      </c>
      <c r="L81" s="13">
        <v>0.61</v>
      </c>
      <c r="M81" s="12">
        <f t="shared" si="13"/>
        <v>3032.381843512403</v>
      </c>
      <c r="N81" s="6">
        <f t="shared" si="16"/>
        <v>2262.1568552602525</v>
      </c>
      <c r="O81" s="6">
        <f t="shared" si="17"/>
        <v>0.065</v>
      </c>
      <c r="P81" s="7">
        <f t="shared" si="18"/>
        <v>105868.94082617982</v>
      </c>
      <c r="U81" s="72"/>
    </row>
    <row r="82" spans="1:21" ht="12.75">
      <c r="A82" s="6">
        <v>22</v>
      </c>
      <c r="B82" s="6" t="s">
        <v>114</v>
      </c>
      <c r="C82" s="11">
        <f t="shared" si="11"/>
        <v>42450.5015736133</v>
      </c>
      <c r="D82" s="13">
        <f t="shared" si="14"/>
        <v>53.06312696701662</v>
      </c>
      <c r="E82" s="6">
        <v>14.2</v>
      </c>
      <c r="F82" s="12">
        <f t="shared" si="19"/>
        <v>21.871423196663294</v>
      </c>
      <c r="G82" s="12"/>
      <c r="H82" s="12">
        <f t="shared" si="15"/>
        <v>25.44565243953711</v>
      </c>
      <c r="I82" s="12">
        <f t="shared" si="20"/>
        <v>2.276804199258277</v>
      </c>
      <c r="J82" s="12">
        <f t="shared" si="12"/>
        <v>27.722456638795386</v>
      </c>
      <c r="K82" s="6">
        <v>68</v>
      </c>
      <c r="L82" s="13">
        <v>0.61</v>
      </c>
      <c r="M82" s="12">
        <f t="shared" si="13"/>
        <v>3278.297997312799</v>
      </c>
      <c r="N82" s="6">
        <f t="shared" si="16"/>
        <v>2445.610305995348</v>
      </c>
      <c r="O82" s="6">
        <f t="shared" si="17"/>
        <v>0.065</v>
      </c>
      <c r="P82" s="7">
        <f t="shared" si="18"/>
        <v>114454.56232058229</v>
      </c>
      <c r="U82" s="72"/>
    </row>
    <row r="83" spans="1:21" ht="12.75">
      <c r="A83" s="6">
        <v>23</v>
      </c>
      <c r="B83" s="6" t="s">
        <v>115</v>
      </c>
      <c r="C83" s="11">
        <f t="shared" si="11"/>
        <v>45715.92477158355</v>
      </c>
      <c r="D83" s="13">
        <f t="shared" si="14"/>
        <v>57.14490596447944</v>
      </c>
      <c r="E83" s="6">
        <v>14.2</v>
      </c>
      <c r="F83" s="12">
        <f t="shared" si="19"/>
        <v>21.960530082091058</v>
      </c>
      <c r="G83" s="12"/>
      <c r="H83" s="12">
        <f t="shared" si="15"/>
        <v>25.489431557711846</v>
      </c>
      <c r="I83" s="12">
        <f t="shared" si="20"/>
        <v>2.3843809692704614</v>
      </c>
      <c r="J83" s="12">
        <f t="shared" si="12"/>
        <v>27.873812526982306</v>
      </c>
      <c r="K83" s="6">
        <v>68</v>
      </c>
      <c r="L83" s="13">
        <v>0.61</v>
      </c>
      <c r="M83" s="12">
        <f t="shared" si="13"/>
        <v>3562.0385665665326</v>
      </c>
      <c r="N83" s="6">
        <f t="shared" si="16"/>
        <v>2657.280770658633</v>
      </c>
      <c r="O83" s="6">
        <f t="shared" si="17"/>
        <v>0.065</v>
      </c>
      <c r="P83" s="7">
        <f t="shared" si="18"/>
        <v>124360.74006682402</v>
      </c>
      <c r="U83" s="72"/>
    </row>
    <row r="84" spans="1:21" ht="12.75">
      <c r="A84" s="6">
        <v>24</v>
      </c>
      <c r="B84" s="6" t="s">
        <v>104</v>
      </c>
      <c r="C84" s="11">
        <f t="shared" si="11"/>
        <v>49525.58516921551</v>
      </c>
      <c r="D84" s="13">
        <f t="shared" si="14"/>
        <v>61.906981461519386</v>
      </c>
      <c r="E84" s="6">
        <v>14.2</v>
      </c>
      <c r="F84" s="12">
        <f t="shared" si="19"/>
        <v>22.05000000000003</v>
      </c>
      <c r="G84" s="12"/>
      <c r="H84" s="12">
        <f t="shared" si="15"/>
        <v>25.533389037433167</v>
      </c>
      <c r="I84" s="12">
        <f t="shared" si="20"/>
        <v>2.492330384182818</v>
      </c>
      <c r="J84" s="12">
        <f t="shared" si="12"/>
        <v>28.025719421615985</v>
      </c>
      <c r="K84" s="6">
        <v>68</v>
      </c>
      <c r="L84" s="13">
        <v>0.61</v>
      </c>
      <c r="M84" s="12">
        <f t="shared" si="13"/>
        <v>3893.060117063918</v>
      </c>
      <c r="N84" s="6">
        <f t="shared" si="16"/>
        <v>2904.2228473296827</v>
      </c>
      <c r="O84" s="6">
        <f t="shared" si="17"/>
        <v>0.065</v>
      </c>
      <c r="P84" s="7">
        <f t="shared" si="18"/>
        <v>135917.62925502914</v>
      </c>
      <c r="U84" s="72"/>
    </row>
    <row r="85" spans="1:21" ht="12.75">
      <c r="A85" s="6">
        <v>25</v>
      </c>
      <c r="B85" s="6" t="s">
        <v>105</v>
      </c>
      <c r="C85" s="11">
        <f t="shared" si="11"/>
        <v>54027.911093689654</v>
      </c>
      <c r="D85" s="13">
        <f t="shared" si="14"/>
        <v>67.53488886711207</v>
      </c>
      <c r="E85" s="6">
        <v>14.2</v>
      </c>
      <c r="F85" s="12">
        <f t="shared" si="19"/>
        <v>22.139834429429474</v>
      </c>
      <c r="G85" s="12"/>
      <c r="H85" s="12">
        <f t="shared" si="15"/>
        <v>25.577525605368088</v>
      </c>
      <c r="I85" s="12">
        <f t="shared" si="20"/>
        <v>2.600654688863815</v>
      </c>
      <c r="J85" s="12">
        <f t="shared" si="12"/>
        <v>28.178180294231904</v>
      </c>
      <c r="K85" s="6">
        <v>68</v>
      </c>
      <c r="L85" s="13">
        <v>0.61</v>
      </c>
      <c r="M85" s="12">
        <f t="shared" si="13"/>
        <v>4284.257961884571</v>
      </c>
      <c r="N85" s="6">
        <f t="shared" si="16"/>
        <v>3196.0564395658903</v>
      </c>
      <c r="O85" s="6">
        <f t="shared" si="17"/>
        <v>0.065</v>
      </c>
      <c r="P85" s="7">
        <f t="shared" si="18"/>
        <v>149575.44137168367</v>
      </c>
      <c r="U85" s="72"/>
    </row>
    <row r="86" spans="1:21" ht="12.75">
      <c r="A86" s="6">
        <v>26</v>
      </c>
      <c r="B86" s="6" t="s">
        <v>106</v>
      </c>
      <c r="C86" s="11">
        <f t="shared" si="11"/>
        <v>59430.7022030586</v>
      </c>
      <c r="D86" s="13">
        <f t="shared" si="14"/>
        <v>74.28837775382324</v>
      </c>
      <c r="E86" s="6">
        <v>14.2</v>
      </c>
      <c r="F86" s="12">
        <f t="shared" si="19"/>
        <v>22.230034855444448</v>
      </c>
      <c r="G86" s="12"/>
      <c r="H86" s="12">
        <f t="shared" si="15"/>
        <v>25.62184199114416</v>
      </c>
      <c r="I86" s="12">
        <f t="shared" si="20"/>
        <v>2.709356140288327</v>
      </c>
      <c r="J86" s="12">
        <f t="shared" si="12"/>
        <v>28.331198131432487</v>
      </c>
      <c r="K86" s="6">
        <v>68</v>
      </c>
      <c r="L86" s="13">
        <v>0.61</v>
      </c>
      <c r="M86" s="12">
        <f t="shared" si="13"/>
        <v>4753.685535100617</v>
      </c>
      <c r="N86" s="6">
        <f t="shared" si="16"/>
        <v>3546.2494091850604</v>
      </c>
      <c r="O86" s="6">
        <f t="shared" si="17"/>
        <v>0.065</v>
      </c>
      <c r="P86" s="7">
        <f t="shared" si="18"/>
        <v>165964.47234986082</v>
      </c>
      <c r="U86" s="72"/>
    </row>
    <row r="87" spans="1:21" ht="12.75">
      <c r="A87" s="6">
        <v>27</v>
      </c>
      <c r="B87" s="6" t="s">
        <v>107</v>
      </c>
      <c r="C87" s="11">
        <f t="shared" si="11"/>
        <v>66034.11355895399</v>
      </c>
      <c r="D87" s="13">
        <f t="shared" si="14"/>
        <v>82.54264194869249</v>
      </c>
      <c r="E87" s="6">
        <v>14.2</v>
      </c>
      <c r="F87" s="12">
        <f t="shared" si="19"/>
        <v>22.320602769160345</v>
      </c>
      <c r="G87" s="12"/>
      <c r="H87" s="12">
        <f t="shared" si="15"/>
        <v>25.66633892736153</v>
      </c>
      <c r="I87" s="12">
        <f t="shared" si="20"/>
        <v>2.8184370075990137</v>
      </c>
      <c r="J87" s="12">
        <f t="shared" si="12"/>
        <v>28.484775934960542</v>
      </c>
      <c r="K87" s="6">
        <v>68</v>
      </c>
      <c r="L87" s="13">
        <v>0.61</v>
      </c>
      <c r="M87" s="12">
        <f t="shared" si="13"/>
        <v>5327.420014614254</v>
      </c>
      <c r="N87" s="6">
        <f t="shared" si="16"/>
        <v>3974.2553309022333</v>
      </c>
      <c r="O87" s="6">
        <f t="shared" si="17"/>
        <v>0.065</v>
      </c>
      <c r="P87" s="7">
        <f t="shared" si="18"/>
        <v>185995.14948622452</v>
      </c>
      <c r="U87" s="72"/>
    </row>
    <row r="88" spans="1:21" ht="12.75">
      <c r="A88" s="6">
        <v>28</v>
      </c>
      <c r="B88" s="6" t="s">
        <v>108</v>
      </c>
      <c r="C88" s="11">
        <f t="shared" si="11"/>
        <v>74288.37775382322</v>
      </c>
      <c r="D88" s="13">
        <f t="shared" si="14"/>
        <v>92.86047219227903</v>
      </c>
      <c r="E88" s="6">
        <v>14.2</v>
      </c>
      <c r="F88" s="12">
        <f t="shared" si="19"/>
        <v>22.41153966776755</v>
      </c>
      <c r="G88" s="12"/>
      <c r="H88" s="12">
        <f t="shared" si="15"/>
        <v>25.71101714960504</v>
      </c>
      <c r="I88" s="12">
        <f t="shared" si="20"/>
        <v>2.927899572168009</v>
      </c>
      <c r="J88" s="12">
        <f t="shared" si="12"/>
        <v>28.63891672177305</v>
      </c>
      <c r="K88" s="6">
        <v>68</v>
      </c>
      <c r="L88" s="13">
        <v>0.61</v>
      </c>
      <c r="M88" s="12">
        <f t="shared" si="13"/>
        <v>6044.577162122175</v>
      </c>
      <c r="N88" s="6">
        <f t="shared" si="16"/>
        <v>4509.254562943142</v>
      </c>
      <c r="O88" s="6">
        <f t="shared" si="17"/>
        <v>0.065</v>
      </c>
      <c r="P88" s="7">
        <f t="shared" si="18"/>
        <v>211033.1135457391</v>
      </c>
      <c r="U88" s="72"/>
    </row>
    <row r="89" spans="4:21" ht="12.75">
      <c r="D89" s="11"/>
      <c r="E89" s="13"/>
      <c r="F89" s="13"/>
      <c r="G89" s="13"/>
      <c r="I89" s="12"/>
      <c r="J89" s="12"/>
      <c r="K89" s="12"/>
      <c r="L89" s="12"/>
      <c r="M89" s="12"/>
      <c r="N89" s="12"/>
      <c r="O89" s="6"/>
      <c r="P89" s="13"/>
      <c r="Q89" s="73"/>
      <c r="T89" s="74"/>
      <c r="U89" s="72"/>
    </row>
    <row r="90" spans="4:20" ht="12.75">
      <c r="D90" s="11"/>
      <c r="E90" s="12"/>
      <c r="F90" s="12"/>
      <c r="G90" s="12"/>
      <c r="I90" s="12"/>
      <c r="J90" s="13"/>
      <c r="K90" s="12"/>
      <c r="L90" s="6"/>
      <c r="M90" s="6"/>
      <c r="N90" s="6"/>
      <c r="O90" s="6"/>
      <c r="P90" s="6"/>
      <c r="T90" s="74"/>
    </row>
    <row r="91" spans="1:20" ht="12.75" customHeight="1">
      <c r="A91" s="276" t="s">
        <v>83</v>
      </c>
      <c r="B91" s="276"/>
      <c r="C91" s="276"/>
      <c r="D91" s="276"/>
      <c r="E91" s="276"/>
      <c r="F91" s="276"/>
      <c r="G91" s="276"/>
      <c r="H91" s="276"/>
      <c r="I91" s="276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3" spans="1:17" ht="12.75">
      <c r="A93" s="263"/>
      <c r="B93" s="263"/>
      <c r="C93" s="263"/>
      <c r="D93" s="263"/>
      <c r="E93" s="263"/>
      <c r="F93" s="263"/>
      <c r="G93" s="263"/>
      <c r="H93" s="263"/>
      <c r="I93" s="263"/>
      <c r="J93" s="70"/>
      <c r="K93" s="70"/>
      <c r="L93" s="70"/>
      <c r="M93" s="70"/>
      <c r="N93" s="76"/>
      <c r="O93" s="75"/>
      <c r="P93" s="75"/>
      <c r="Q93" s="75"/>
    </row>
    <row r="94" spans="1:12" ht="25.5">
      <c r="A94" s="27" t="s">
        <v>103</v>
      </c>
      <c r="B94" s="27" t="s">
        <v>103</v>
      </c>
      <c r="C94" s="27" t="s">
        <v>18</v>
      </c>
      <c r="D94" s="27" t="s">
        <v>19</v>
      </c>
      <c r="E94" s="27" t="s">
        <v>20</v>
      </c>
      <c r="F94" s="27" t="s">
        <v>21</v>
      </c>
      <c r="G94" s="27"/>
      <c r="H94" s="27" t="s">
        <v>22</v>
      </c>
      <c r="I94" s="27" t="s">
        <v>94</v>
      </c>
      <c r="J94" s="77"/>
      <c r="K94" s="77"/>
      <c r="L94" s="78"/>
    </row>
    <row r="95" spans="1:11" ht="12.75">
      <c r="A95" s="6">
        <v>0</v>
      </c>
      <c r="B95" s="6" t="s">
        <v>104</v>
      </c>
      <c r="C95" s="13">
        <f>N4*100</f>
        <v>15</v>
      </c>
      <c r="D95" s="6">
        <v>2</v>
      </c>
      <c r="E95" s="6">
        <v>0.99</v>
      </c>
      <c r="F95" s="13">
        <v>10.75</v>
      </c>
      <c r="G95" s="13"/>
      <c r="H95" s="13">
        <f aca="true" t="shared" si="21" ref="H95:H123">$C95*($E95*$F95-$D95)/$F95</f>
        <v>12.059302325581394</v>
      </c>
      <c r="I95" s="11">
        <f>('Input-Output'!$L$10/1440/0.23/(C95/100)/1.24)/0.3048^3</f>
        <v>16508.528389738527</v>
      </c>
      <c r="J95" s="79"/>
      <c r="K95" s="79"/>
    </row>
    <row r="96" spans="1:11" ht="12.75">
      <c r="A96" s="6">
        <v>1</v>
      </c>
      <c r="B96" s="6" t="s">
        <v>105</v>
      </c>
      <c r="C96" s="13">
        <f>C95-'Input-Output'!$D$64/12</f>
        <v>14.583333333333334</v>
      </c>
      <c r="D96" s="6">
        <v>2</v>
      </c>
      <c r="E96" s="6">
        <v>0.99</v>
      </c>
      <c r="F96" s="13">
        <v>10.75</v>
      </c>
      <c r="G96" s="13"/>
      <c r="H96" s="13">
        <f t="shared" si="21"/>
        <v>11.724321705426357</v>
      </c>
      <c r="I96" s="11">
        <f>('Input-Output'!$L$10/1440/0.23/(C96/100)/1.24)/0.3048^3</f>
        <v>16980.200629445342</v>
      </c>
      <c r="J96" s="79"/>
      <c r="K96" s="79"/>
    </row>
    <row r="97" spans="1:11" ht="12.75">
      <c r="A97" s="6">
        <v>2</v>
      </c>
      <c r="B97" s="6" t="s">
        <v>106</v>
      </c>
      <c r="C97" s="13">
        <f>C96-'Input-Output'!$D$64/12</f>
        <v>14.166666666666668</v>
      </c>
      <c r="D97" s="6">
        <v>2</v>
      </c>
      <c r="E97" s="6">
        <v>0.99</v>
      </c>
      <c r="F97" s="13">
        <v>10.75</v>
      </c>
      <c r="G97" s="13"/>
      <c r="H97" s="13">
        <f t="shared" si="21"/>
        <v>11.389341085271319</v>
      </c>
      <c r="I97" s="11">
        <f>('Input-Output'!$L$10/1440/0.23/(C97/100)/1.24)/0.3048^3</f>
        <v>17479.618295017262</v>
      </c>
      <c r="J97" s="79"/>
      <c r="K97" s="79"/>
    </row>
    <row r="98" spans="1:11" ht="12.75">
      <c r="A98" s="6">
        <v>3</v>
      </c>
      <c r="B98" s="6" t="s">
        <v>107</v>
      </c>
      <c r="C98" s="13">
        <f>C97-'Input-Output'!$D$64/12</f>
        <v>13.750000000000002</v>
      </c>
      <c r="D98" s="6">
        <v>2</v>
      </c>
      <c r="E98" s="6">
        <v>0.99</v>
      </c>
      <c r="F98" s="13">
        <v>10.75</v>
      </c>
      <c r="G98" s="13"/>
      <c r="H98" s="13">
        <f t="shared" si="21"/>
        <v>11.05436046511628</v>
      </c>
      <c r="I98" s="11">
        <f>('Input-Output'!$L$10/1440/0.23/(C98/100)/1.24)/0.3048^3</f>
        <v>18009.303697896576</v>
      </c>
      <c r="J98" s="79"/>
      <c r="K98" s="79"/>
    </row>
    <row r="99" spans="1:11" ht="12.75">
      <c r="A99" s="6">
        <v>4</v>
      </c>
      <c r="B99" s="6" t="s">
        <v>108</v>
      </c>
      <c r="C99" s="13">
        <f>C98-'Input-Output'!$D$64/12</f>
        <v>13.333333333333336</v>
      </c>
      <c r="D99" s="6">
        <v>2</v>
      </c>
      <c r="E99" s="6">
        <v>0.99</v>
      </c>
      <c r="F99" s="13">
        <v>10.75</v>
      </c>
      <c r="G99" s="13"/>
      <c r="H99" s="13">
        <f t="shared" si="21"/>
        <v>10.719379844961242</v>
      </c>
      <c r="I99" s="11">
        <f>('Input-Output'!$L$10/1440/0.23/(C99/100)/1.24)/0.3048^3</f>
        <v>18572.09443845584</v>
      </c>
      <c r="J99" s="79"/>
      <c r="K99" s="79"/>
    </row>
    <row r="100" spans="1:11" ht="12.75">
      <c r="A100" s="6">
        <v>5</v>
      </c>
      <c r="B100" s="6" t="s">
        <v>109</v>
      </c>
      <c r="C100" s="13">
        <f>C99-'Input-Output'!$D$64/12</f>
        <v>12.91666666666667</v>
      </c>
      <c r="D100" s="6">
        <v>2</v>
      </c>
      <c r="E100" s="6">
        <v>0.99</v>
      </c>
      <c r="F100" s="13">
        <v>10.75</v>
      </c>
      <c r="G100" s="13"/>
      <c r="H100" s="13">
        <f t="shared" si="21"/>
        <v>10.384399224806204</v>
      </c>
      <c r="I100" s="11">
        <f>('Input-Output'!$L$10/1440/0.23/(C100/100)/1.24)/0.3048^3</f>
        <v>19171.19425905119</v>
      </c>
      <c r="J100" s="79"/>
      <c r="K100" s="79"/>
    </row>
    <row r="101" spans="1:11" ht="12.75">
      <c r="A101" s="6">
        <v>6</v>
      </c>
      <c r="B101" s="6" t="s">
        <v>110</v>
      </c>
      <c r="C101" s="13">
        <f>C100-'Input-Output'!$D$64/12</f>
        <v>12.500000000000004</v>
      </c>
      <c r="D101" s="6">
        <v>2</v>
      </c>
      <c r="E101" s="6">
        <v>0.99</v>
      </c>
      <c r="F101" s="13">
        <v>10.75</v>
      </c>
      <c r="G101" s="13"/>
      <c r="H101" s="13">
        <f t="shared" si="21"/>
        <v>10.049418604651166</v>
      </c>
      <c r="I101" s="11">
        <f>('Input-Output'!$L$10/1440/0.23/(C101/100)/1.24)/0.3048^3</f>
        <v>19810.234067686233</v>
      </c>
      <c r="J101" s="79"/>
      <c r="K101" s="79"/>
    </row>
    <row r="102" spans="1:11" ht="12.75">
      <c r="A102" s="6">
        <v>7</v>
      </c>
      <c r="B102" s="6" t="s">
        <v>111</v>
      </c>
      <c r="C102" s="13">
        <f>C101-'Input-Output'!$D$64/12</f>
        <v>12.083333333333337</v>
      </c>
      <c r="D102" s="6">
        <v>2</v>
      </c>
      <c r="E102" s="6">
        <v>0.99</v>
      </c>
      <c r="F102" s="13">
        <v>10.75</v>
      </c>
      <c r="G102" s="13"/>
      <c r="H102" s="13">
        <f t="shared" si="21"/>
        <v>9.714437984496127</v>
      </c>
      <c r="I102" s="11">
        <f>('Input-Output'!$L$10/1440/0.23/(C102/100)/1.24)/0.3048^3</f>
        <v>20493.345587261614</v>
      </c>
      <c r="J102" s="79"/>
      <c r="K102" s="79"/>
    </row>
    <row r="103" spans="1:11" ht="12.75">
      <c r="A103" s="6">
        <v>8</v>
      </c>
      <c r="B103" s="6" t="s">
        <v>112</v>
      </c>
      <c r="C103" s="13">
        <f>C102-'Input-Output'!$D$64/12</f>
        <v>11.666666666666671</v>
      </c>
      <c r="D103" s="6">
        <v>2</v>
      </c>
      <c r="E103" s="6">
        <v>0.99</v>
      </c>
      <c r="F103" s="13">
        <v>10.75</v>
      </c>
      <c r="G103" s="13"/>
      <c r="H103" s="13">
        <f t="shared" si="21"/>
        <v>9.37945736434109</v>
      </c>
      <c r="I103" s="11">
        <f>('Input-Output'!$L$10/1440/0.23/(C103/100)/1.24)/0.3048^3</f>
        <v>21225.25078680667</v>
      </c>
      <c r="J103" s="79"/>
      <c r="K103" s="79"/>
    </row>
    <row r="104" spans="1:16" ht="12.75">
      <c r="A104" s="6">
        <v>9</v>
      </c>
      <c r="B104" s="6" t="s">
        <v>113</v>
      </c>
      <c r="C104" s="13">
        <f>C103-'Input-Output'!$D$64/12</f>
        <v>11.250000000000005</v>
      </c>
      <c r="D104" s="6">
        <v>2</v>
      </c>
      <c r="E104" s="6">
        <v>0.99</v>
      </c>
      <c r="F104" s="13">
        <v>10.75</v>
      </c>
      <c r="G104" s="13"/>
      <c r="H104" s="13">
        <f t="shared" si="21"/>
        <v>9.044476744186051</v>
      </c>
      <c r="I104" s="11">
        <f>('Input-Output'!$L$10/1440/0.23/(C104/100)/1.24)/0.3048^3</f>
        <v>22011.371186318025</v>
      </c>
      <c r="J104" s="79"/>
      <c r="K104" s="79"/>
      <c r="N104" s="78"/>
      <c r="O104" s="78"/>
      <c r="P104" s="78"/>
    </row>
    <row r="105" spans="1:16" ht="12.75">
      <c r="A105" s="6">
        <v>10</v>
      </c>
      <c r="B105" s="6" t="s">
        <v>114</v>
      </c>
      <c r="C105" s="13">
        <f>C104-'Input-Output'!$D$64/12</f>
        <v>10.83333333333334</v>
      </c>
      <c r="D105" s="6">
        <v>2</v>
      </c>
      <c r="E105" s="6">
        <v>0.99</v>
      </c>
      <c r="F105" s="13">
        <v>10.75</v>
      </c>
      <c r="G105" s="13"/>
      <c r="H105" s="13">
        <f t="shared" si="21"/>
        <v>8.709496124031013</v>
      </c>
      <c r="I105" s="11">
        <f>('Input-Output'!$L$10/1440/0.23/(C105/100)/1.24)/0.3048^3</f>
        <v>22857.962385791794</v>
      </c>
      <c r="J105" s="79"/>
      <c r="K105" s="79"/>
      <c r="N105" s="78"/>
      <c r="O105" s="78"/>
      <c r="P105" s="78"/>
    </row>
    <row r="106" spans="1:11" ht="12.75">
      <c r="A106" s="6">
        <v>11</v>
      </c>
      <c r="B106" s="6" t="s">
        <v>115</v>
      </c>
      <c r="C106" s="13">
        <f>C105-'Input-Output'!$D$64/12</f>
        <v>10.416666666666673</v>
      </c>
      <c r="D106" s="6">
        <v>2</v>
      </c>
      <c r="E106" s="6">
        <v>0.99</v>
      </c>
      <c r="F106" s="13">
        <v>10.75</v>
      </c>
      <c r="G106" s="13"/>
      <c r="H106" s="13">
        <f t="shared" si="21"/>
        <v>8.374515503875974</v>
      </c>
      <c r="I106" s="11">
        <f>('Input-Output'!$L$10/1440/0.23/(C106/100)/1.24)/0.3048^3</f>
        <v>23772.28088122346</v>
      </c>
      <c r="J106" s="79"/>
      <c r="K106" s="79"/>
    </row>
    <row r="107" spans="1:11" ht="12.75">
      <c r="A107" s="6">
        <v>12</v>
      </c>
      <c r="B107" s="6" t="s">
        <v>104</v>
      </c>
      <c r="C107" s="13">
        <f>C106-'Input-Output'!$D$64/12</f>
        <v>10.000000000000007</v>
      </c>
      <c r="D107" s="6">
        <v>2</v>
      </c>
      <c r="E107" s="6">
        <v>0.99</v>
      </c>
      <c r="F107" s="13">
        <v>10.75</v>
      </c>
      <c r="G107" s="13"/>
      <c r="H107" s="13">
        <f t="shared" si="21"/>
        <v>8.039534883720936</v>
      </c>
      <c r="I107" s="11">
        <f>('Input-Output'!$L$10/1440/0.23/(C107/100)/1.24)/0.3048^3</f>
        <v>24762.79258460777</v>
      </c>
      <c r="J107" s="79"/>
      <c r="K107" s="79"/>
    </row>
    <row r="108" spans="1:11" ht="12.75">
      <c r="A108" s="6">
        <v>13</v>
      </c>
      <c r="B108" s="6" t="s">
        <v>105</v>
      </c>
      <c r="C108" s="13">
        <f>C107-'Input-Output'!$D$64/12</f>
        <v>9.583333333333341</v>
      </c>
      <c r="D108" s="6">
        <v>2</v>
      </c>
      <c r="E108" s="6">
        <v>0.99</v>
      </c>
      <c r="F108" s="13">
        <v>10.75</v>
      </c>
      <c r="G108" s="13"/>
      <c r="H108" s="13">
        <f t="shared" si="21"/>
        <v>7.704554263565897</v>
      </c>
      <c r="I108" s="11">
        <f>('Input-Output'!$L$10/1440/0.23/(C108/100)/1.24)/0.3048^3</f>
        <v>25839.43574046028</v>
      </c>
      <c r="J108" s="79"/>
      <c r="K108" s="79"/>
    </row>
    <row r="109" spans="1:11" ht="12.75">
      <c r="A109" s="6">
        <v>14</v>
      </c>
      <c r="B109" s="6" t="s">
        <v>106</v>
      </c>
      <c r="C109" s="13">
        <f>C108-'Input-Output'!$D$64/12</f>
        <v>9.166666666666675</v>
      </c>
      <c r="D109" s="6">
        <v>2</v>
      </c>
      <c r="E109" s="6">
        <v>0.99</v>
      </c>
      <c r="F109" s="13">
        <v>10.75</v>
      </c>
      <c r="G109" s="13"/>
      <c r="H109" s="13">
        <f t="shared" si="21"/>
        <v>7.369573643410859</v>
      </c>
      <c r="I109" s="11">
        <f>('Input-Output'!$L$10/1440/0.23/(C109/100)/1.24)/0.3048^3</f>
        <v>27013.95554684484</v>
      </c>
      <c r="J109" s="79"/>
      <c r="K109" s="79"/>
    </row>
    <row r="110" spans="1:11" ht="12.75">
      <c r="A110" s="6">
        <v>15</v>
      </c>
      <c r="B110" s="6" t="s">
        <v>107</v>
      </c>
      <c r="C110" s="13">
        <f>C109-'Input-Output'!$D$64/12</f>
        <v>8.750000000000009</v>
      </c>
      <c r="D110" s="6">
        <v>2</v>
      </c>
      <c r="E110" s="6">
        <v>0.99</v>
      </c>
      <c r="F110" s="13">
        <v>10.75</v>
      </c>
      <c r="G110" s="13"/>
      <c r="H110" s="13">
        <f t="shared" si="21"/>
        <v>7.0345930232558205</v>
      </c>
      <c r="I110" s="11">
        <f>('Input-Output'!$L$10/1440/0.23/(C110/100)/1.24)/0.3048^3</f>
        <v>28300.334382408873</v>
      </c>
      <c r="J110" s="79"/>
      <c r="K110" s="79"/>
    </row>
    <row r="111" spans="1:11" ht="12.75">
      <c r="A111" s="6">
        <v>16</v>
      </c>
      <c r="B111" s="6" t="s">
        <v>108</v>
      </c>
      <c r="C111" s="13">
        <f>C110-'Input-Output'!$D$64/12</f>
        <v>8.333333333333343</v>
      </c>
      <c r="D111" s="6">
        <v>2</v>
      </c>
      <c r="E111" s="6">
        <v>0.99</v>
      </c>
      <c r="F111" s="13">
        <v>10.75</v>
      </c>
      <c r="G111" s="13"/>
      <c r="H111" s="13">
        <f t="shared" si="21"/>
        <v>6.699612403100783</v>
      </c>
      <c r="I111" s="11">
        <f>('Input-Output'!$L$10/1440/0.23/(C111/100)/1.24)/0.3048^3</f>
        <v>29715.35110152932</v>
      </c>
      <c r="J111" s="79"/>
      <c r="K111" s="79"/>
    </row>
    <row r="112" spans="1:11" ht="12.75">
      <c r="A112" s="6">
        <v>17</v>
      </c>
      <c r="B112" s="6" t="s">
        <v>109</v>
      </c>
      <c r="C112" s="13">
        <f>C111-'Input-Output'!$D$64/12</f>
        <v>7.916666666666676</v>
      </c>
      <c r="D112" s="6">
        <v>2</v>
      </c>
      <c r="E112" s="6">
        <v>0.99</v>
      </c>
      <c r="F112" s="13">
        <v>10.75</v>
      </c>
      <c r="G112" s="13"/>
      <c r="H112" s="13">
        <f t="shared" si="21"/>
        <v>6.364631782945743</v>
      </c>
      <c r="I112" s="11">
        <f>('Input-Output'!$L$10/1440/0.23/(C112/100)/1.24)/0.3048^3</f>
        <v>31279.316948978227</v>
      </c>
      <c r="J112" s="79"/>
      <c r="K112" s="79"/>
    </row>
    <row r="113" spans="1:11" ht="12.75">
      <c r="A113" s="6">
        <v>18</v>
      </c>
      <c r="B113" s="6" t="s">
        <v>110</v>
      </c>
      <c r="C113" s="13">
        <f>C112-'Input-Output'!$D$64/12</f>
        <v>7.500000000000009</v>
      </c>
      <c r="D113" s="6">
        <v>2</v>
      </c>
      <c r="E113" s="6">
        <v>0.99</v>
      </c>
      <c r="F113" s="13">
        <v>10.75</v>
      </c>
      <c r="G113" s="13"/>
      <c r="H113" s="13">
        <f t="shared" si="21"/>
        <v>6.029651162790705</v>
      </c>
      <c r="I113" s="11">
        <f>('Input-Output'!$L$10/1440/0.23/(C113/100)/1.24)/0.3048^3</f>
        <v>33017.05677947702</v>
      </c>
      <c r="J113" s="79"/>
      <c r="K113" s="79"/>
    </row>
    <row r="114" spans="1:11" ht="12.75">
      <c r="A114" s="6">
        <v>19</v>
      </c>
      <c r="B114" s="6" t="s">
        <v>111</v>
      </c>
      <c r="C114" s="13">
        <f>C113-'Input-Output'!$D$64/12</f>
        <v>7.083333333333342</v>
      </c>
      <c r="D114" s="6">
        <v>2</v>
      </c>
      <c r="E114" s="6">
        <v>0.99</v>
      </c>
      <c r="F114" s="13">
        <v>10.75</v>
      </c>
      <c r="G114" s="13"/>
      <c r="H114" s="13">
        <f t="shared" si="21"/>
        <v>5.694670542635666</v>
      </c>
      <c r="I114" s="11">
        <f>('Input-Output'!$L$10/1440/0.23/(C114/100)/1.24)/0.3048^3</f>
        <v>34959.23659003449</v>
      </c>
      <c r="J114" s="79"/>
      <c r="K114" s="79"/>
    </row>
    <row r="115" spans="1:11" ht="12.75">
      <c r="A115" s="6">
        <v>20</v>
      </c>
      <c r="B115" s="6" t="s">
        <v>112</v>
      </c>
      <c r="C115" s="13">
        <f>C114-'Input-Output'!$D$64/12</f>
        <v>6.666666666666675</v>
      </c>
      <c r="D115" s="6">
        <v>2</v>
      </c>
      <c r="E115" s="6">
        <v>0.99</v>
      </c>
      <c r="F115" s="13">
        <v>10.75</v>
      </c>
      <c r="G115" s="13"/>
      <c r="H115" s="13">
        <f t="shared" si="21"/>
        <v>5.3596899224806265</v>
      </c>
      <c r="I115" s="11">
        <f>('Input-Output'!$L$10/1440/0.23/(C115/100)/1.24)/0.3048^3</f>
        <v>37144.188876911634</v>
      </c>
      <c r="J115" s="79"/>
      <c r="K115" s="79"/>
    </row>
    <row r="116" spans="1:11" ht="12.75">
      <c r="A116" s="6">
        <v>21</v>
      </c>
      <c r="B116" s="6" t="s">
        <v>113</v>
      </c>
      <c r="C116" s="13">
        <f>C115-'Input-Output'!$D$64/12</f>
        <v>6.250000000000008</v>
      </c>
      <c r="D116" s="6">
        <v>2</v>
      </c>
      <c r="E116" s="6">
        <v>0.99</v>
      </c>
      <c r="F116" s="13">
        <v>10.75</v>
      </c>
      <c r="G116" s="13"/>
      <c r="H116" s="13">
        <f t="shared" si="21"/>
        <v>5.024709302325588</v>
      </c>
      <c r="I116" s="11">
        <f>('Input-Output'!$L$10/1440/0.23/(C116/100)/1.24)/0.3048^3</f>
        <v>39620.468135372415</v>
      </c>
      <c r="J116" s="79"/>
      <c r="K116" s="79"/>
    </row>
    <row r="117" spans="1:11" ht="12.75">
      <c r="A117" s="6">
        <v>22</v>
      </c>
      <c r="B117" s="6" t="s">
        <v>114</v>
      </c>
      <c r="C117" s="13">
        <f>C116-'Input-Output'!$D$64/12</f>
        <v>5.833333333333341</v>
      </c>
      <c r="D117" s="6">
        <v>2</v>
      </c>
      <c r="E117" s="6">
        <v>0.99</v>
      </c>
      <c r="F117" s="13">
        <v>10.75</v>
      </c>
      <c r="G117" s="13"/>
      <c r="H117" s="13">
        <f t="shared" si="21"/>
        <v>4.689728682170548</v>
      </c>
      <c r="I117" s="11">
        <f>('Input-Output'!$L$10/1440/0.23/(C117/100)/1.24)/0.3048^3</f>
        <v>42450.5015736133</v>
      </c>
      <c r="J117" s="79"/>
      <c r="K117" s="79"/>
    </row>
    <row r="118" spans="1:11" ht="12.75">
      <c r="A118" s="6">
        <v>23</v>
      </c>
      <c r="B118" s="6" t="s">
        <v>115</v>
      </c>
      <c r="C118" s="13">
        <f>C117-'Input-Output'!$D$64/12</f>
        <v>5.416666666666674</v>
      </c>
      <c r="D118" s="6">
        <v>2</v>
      </c>
      <c r="E118" s="6">
        <v>0.99</v>
      </c>
      <c r="F118" s="13">
        <v>10.75</v>
      </c>
      <c r="G118" s="13"/>
      <c r="H118" s="13">
        <f t="shared" si="21"/>
        <v>4.35474806201551</v>
      </c>
      <c r="I118" s="11">
        <f>('Input-Output'!$L$10/1440/0.23/(C118/100)/1.24)/0.3048^3</f>
        <v>45715.92477158355</v>
      </c>
      <c r="J118" s="79"/>
      <c r="K118" s="79"/>
    </row>
    <row r="119" spans="1:11" ht="12.75">
      <c r="A119" s="6">
        <v>24</v>
      </c>
      <c r="B119" s="6" t="s">
        <v>104</v>
      </c>
      <c r="C119" s="13">
        <f>C118-'Input-Output'!$D$64/12</f>
        <v>5.000000000000007</v>
      </c>
      <c r="D119" s="6">
        <v>2</v>
      </c>
      <c r="E119" s="6">
        <v>0.99</v>
      </c>
      <c r="F119" s="13">
        <v>10.75</v>
      </c>
      <c r="G119" s="13"/>
      <c r="H119" s="13">
        <f t="shared" si="21"/>
        <v>4.019767441860471</v>
      </c>
      <c r="I119" s="11">
        <f>('Input-Output'!$L$10/1440/0.23/(C119/100)/1.24)/0.3048^3</f>
        <v>49525.58516921551</v>
      </c>
      <c r="J119" s="79"/>
      <c r="K119" s="79"/>
    </row>
    <row r="120" spans="1:11" ht="12.75">
      <c r="A120" s="6">
        <v>25</v>
      </c>
      <c r="B120" s="6" t="s">
        <v>105</v>
      </c>
      <c r="C120" s="13">
        <f>C119-'Input-Output'!$D$64/12</f>
        <v>4.58333333333334</v>
      </c>
      <c r="D120" s="6">
        <v>2</v>
      </c>
      <c r="E120" s="6">
        <v>0.99</v>
      </c>
      <c r="F120" s="13">
        <v>10.75</v>
      </c>
      <c r="G120" s="13"/>
      <c r="H120" s="13">
        <f t="shared" si="21"/>
        <v>3.684786821705432</v>
      </c>
      <c r="I120" s="11">
        <f>('Input-Output'!$L$10/1440/0.23/(C120/100)/1.24)/0.3048^3</f>
        <v>54027.911093689654</v>
      </c>
      <c r="J120" s="79"/>
      <c r="K120" s="79"/>
    </row>
    <row r="121" spans="1:11" ht="12.75">
      <c r="A121" s="6">
        <v>26</v>
      </c>
      <c r="B121" s="6" t="s">
        <v>106</v>
      </c>
      <c r="C121" s="13">
        <f>C120-'Input-Output'!$D$64/12</f>
        <v>4.166666666666673</v>
      </c>
      <c r="D121" s="6">
        <v>2</v>
      </c>
      <c r="E121" s="6">
        <v>0.99</v>
      </c>
      <c r="F121" s="13">
        <v>10.75</v>
      </c>
      <c r="G121" s="13"/>
      <c r="H121" s="13">
        <f t="shared" si="21"/>
        <v>3.349806201550393</v>
      </c>
      <c r="I121" s="11">
        <f>('Input-Output'!$L$10/1440/0.23/(C121/100)/1.24)/0.3048^3</f>
        <v>59430.7022030586</v>
      </c>
      <c r="J121" s="79"/>
      <c r="K121" s="79"/>
    </row>
    <row r="122" spans="1:11" ht="12.75">
      <c r="A122" s="6">
        <v>27</v>
      </c>
      <c r="B122" s="6" t="s">
        <v>107</v>
      </c>
      <c r="C122" s="13">
        <f>C121-'Input-Output'!$D$64/12</f>
        <v>3.7500000000000067</v>
      </c>
      <c r="D122" s="6">
        <v>2</v>
      </c>
      <c r="E122" s="6">
        <v>0.99</v>
      </c>
      <c r="F122" s="13">
        <v>10.75</v>
      </c>
      <c r="G122" s="13"/>
      <c r="H122" s="13">
        <f t="shared" si="21"/>
        <v>3.0148255813953546</v>
      </c>
      <c r="I122" s="11">
        <f>('Input-Output'!$L$10/1440/0.23/(C122/100)/1.24)/0.3048^3</f>
        <v>66034.11355895399</v>
      </c>
      <c r="J122" s="79"/>
      <c r="K122" s="79"/>
    </row>
    <row r="123" spans="1:11" ht="12.75">
      <c r="A123" s="6">
        <v>28</v>
      </c>
      <c r="B123" s="6" t="s">
        <v>108</v>
      </c>
      <c r="C123" s="13">
        <f>C122-'Input-Output'!$D$64/12</f>
        <v>3.33333333333334</v>
      </c>
      <c r="D123" s="6">
        <v>2</v>
      </c>
      <c r="E123" s="6">
        <v>0.99</v>
      </c>
      <c r="F123" s="13">
        <v>10.75</v>
      </c>
      <c r="G123" s="13"/>
      <c r="H123" s="13">
        <f t="shared" si="21"/>
        <v>2.679844961240316</v>
      </c>
      <c r="I123" s="11">
        <f>('Input-Output'!$L$10/1440/0.23/(C123/100)/1.24)/0.3048^3</f>
        <v>74288.37775382322</v>
      </c>
      <c r="J123" s="79"/>
      <c r="K123" s="79"/>
    </row>
  </sheetData>
  <sheetProtection selectLockedCells="1" selectUnlockedCells="1"/>
  <mergeCells count="21">
    <mergeCell ref="A7:C7"/>
    <mergeCell ref="A10:C10"/>
    <mergeCell ref="A55:P55"/>
    <mergeCell ref="A93:I93"/>
    <mergeCell ref="A5:C5"/>
    <mergeCell ref="A12:C12"/>
    <mergeCell ref="A19:O19"/>
    <mergeCell ref="A15:C15"/>
    <mergeCell ref="A14:C14"/>
    <mergeCell ref="A91:I91"/>
    <mergeCell ref="A9:D9"/>
    <mergeCell ref="A11:C11"/>
    <mergeCell ref="A8:C8"/>
    <mergeCell ref="A57:P57"/>
    <mergeCell ref="M2:O2"/>
    <mergeCell ref="A17:O17"/>
    <mergeCell ref="A3:C3"/>
    <mergeCell ref="A4:C4"/>
    <mergeCell ref="A13:C13"/>
    <mergeCell ref="A2:D2"/>
    <mergeCell ref="A6:C6"/>
  </mergeCells>
  <printOptions gridLines="1"/>
  <pageMargins left="0.75" right="0.75" top="1" bottom="1" header="0.5" footer="0.5"/>
  <pageSetup horizontalDpi="600" verticalDpi="600" orientation="landscape" scale="40"/>
  <headerFooter alignWithMargins="0">
    <oddHeader>&amp;C&amp;F</oddHeader>
    <oddFooter>&amp;CPage &amp;P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Kartiki</dc:creator>
  <cp:keywords/>
  <dc:description/>
  <cp:lastModifiedBy>CEWWRGS</cp:lastModifiedBy>
  <cp:lastPrinted>2005-01-22T02:41:10Z</cp:lastPrinted>
  <dcterms:created xsi:type="dcterms:W3CDTF">2004-05-06T21:40:47Z</dcterms:created>
  <dcterms:modified xsi:type="dcterms:W3CDTF">2013-01-23T23:59:15Z</dcterms:modified>
  <cp:category/>
  <cp:version/>
  <cp:contentType/>
  <cp:contentStatus/>
</cp:coreProperties>
</file>